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4.xml" ContentType="application/vnd.openxmlformats-officedocument.spreadsheetml.comments+xml"/>
  <Override PartName="/xl/comments13.xml" ContentType="application/vnd.openxmlformats-officedocument.spreadsheetml.comments+xml"/>
  <Override PartName="/xl/comments17.xml" ContentType="application/vnd.openxmlformats-officedocument.spreadsheetml.comments+xml"/>
  <Override PartName="/xl/comments16.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15.xml" ContentType="application/vnd.openxmlformats-officedocument.spreadsheetml.comments+xml"/>
  <Override PartName="/xl/commentsmeta11" ContentType="application/binary"/>
  <Override PartName="/xl/commentsmeta9" ContentType="application/binary"/>
  <Override PartName="/xl/commentsmeta14" ContentType="application/binary"/>
  <Override PartName="/xl/commentsmeta12" ContentType="application/binary"/>
  <Override PartName="/xl/commentsmeta4" ContentType="application/binary"/>
  <Override PartName="/xl/commentsmeta8" ContentType="application/binary"/>
  <Override PartName="/xl/commentsmeta10" ContentType="application/binary"/>
  <Override PartName="/xl/commentsmeta5" ContentType="application/binary"/>
  <Override PartName="/xl/metadata" ContentType="application/binary"/>
  <Override PartName="/xl/commentsmeta6" ContentType="application/binary"/>
  <Override PartName="/xl/commentsmeta7" ContentType="application/binary"/>
  <Override PartName="/xl/commentsmeta0" ContentType="application/binary"/>
  <Override PartName="/xl/commentsmeta3" ContentType="application/binary"/>
  <Override PartName="/xl/commentsmeta1" ContentType="application/binary"/>
  <Override PartName="/xl/commentsmeta2"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limate Change Program\Inventories\2023\Final 2026-09-17\"/>
    </mc:Choice>
  </mc:AlternateContent>
  <xr:revisionPtr revIDLastSave="0" documentId="13_ncr:1_{5B78C1B9-D6BA-41B4-A07F-B49D2FD5FFA7}" xr6:coauthVersionLast="47" xr6:coauthVersionMax="47" xr10:uidLastSave="{00000000-0000-0000-0000-000000000000}"/>
  <bookViews>
    <workbookView xWindow="19080" yWindow="-990" windowWidth="29040" windowHeight="15720" xr2:uid="{00000000-000D-0000-FFFF-FFFF00000000}"/>
  </bookViews>
  <sheets>
    <sheet name="Summary" sheetId="1" r:id="rId1"/>
    <sheet name="EGU Production RGGI Units" sheetId="2" r:id="rId2"/>
    <sheet name="EGU Production Non-RGGI Units" sheetId="3" r:id="rId3"/>
    <sheet name="Imported Electricity" sheetId="4" r:id="rId4"/>
    <sheet name="Residential" sheetId="5" r:id="rId5"/>
    <sheet name="Commercial" sheetId="6" r:id="rId6"/>
    <sheet name="Industrial" sheetId="7" r:id="rId7"/>
    <sheet name="Transportation" sheetId="8" r:id="rId8"/>
    <sheet name="Natural Gas and Oil" sheetId="9" r:id="rId9"/>
    <sheet name="Mining" sheetId="10" r:id="rId10"/>
    <sheet name="Cement" sheetId="11" r:id="rId11"/>
    <sheet name="LimeT&amp;DSoda" sheetId="12" r:id="rId12"/>
    <sheet name="ODSSubs 100-yr" sheetId="22" r:id="rId13"/>
    <sheet name="ODSSubs 20-yr" sheetId="24" r:id="rId14"/>
    <sheet name="Iron And Steel" sheetId="13" r:id="rId15"/>
    <sheet name="Ammonia &amp; Urea Consumption" sheetId="14" r:id="rId16"/>
    <sheet name="Agricultural" sheetId="15" r:id="rId17"/>
    <sheet name="Agriculture_Liming" sheetId="16" r:id="rId18"/>
    <sheet name="Incinerators" sheetId="17" r:id="rId19"/>
    <sheet name="Landfills" sheetId="18" r:id="rId20"/>
    <sheet name="Wastewater" sheetId="19" r:id="rId21"/>
    <sheet name="OpenBurn" sheetId="20" r:id="rId22"/>
    <sheet name="Land_Use" sheetId="23" r:id="rId23"/>
    <sheet name="long_format_output" sheetId="25" r:id="rId24"/>
  </sheets>
  <definedNames>
    <definedName name="_Key1">#REF!</definedName>
    <definedName name="_Sort">#REF!</definedName>
    <definedName name="CementCorrectionFactor">#REF!</definedName>
    <definedName name="CH4GWP">#REF!</definedName>
    <definedName name="CoalCCs">#REF!</definedName>
    <definedName name="CoalGrowth">#REF!</definedName>
    <definedName name="data">#REF!</definedName>
    <definedName name="ElecProj">#REF!</definedName>
    <definedName name="EntFermEFs">#REF!</definedName>
    <definedName name="EntFermEFs2">#REF!</definedName>
    <definedName name="EPS">#REF!</definedName>
    <definedName name="EPSFraction">#REF!</definedName>
    <definedName name="FCFchoice">#REF!</definedName>
    <definedName name="FertData">#REF!</definedName>
    <definedName name="FertTypes">#REF!</definedName>
    <definedName name="FFFactors">#REF!</definedName>
    <definedName name="FullName">#REF!</definedName>
    <definedName name="GasProj">#REF!</definedName>
    <definedName name="GWP">#REF!</definedName>
    <definedName name="GWPCH4">#REF!</definedName>
    <definedName name="GWPN2O">#REF!</definedName>
    <definedName name="HTML1_1">#REF!</definedName>
    <definedName name="HTML1_12">#REF!</definedName>
    <definedName name="HTML1_3">#REF!</definedName>
    <definedName name="HTML1_4">#REF!</definedName>
    <definedName name="IndustrialPercent">#REF!</definedName>
    <definedName name="kg.MT">#REF!</definedName>
    <definedName name="LiquidEF">#REF!</definedName>
    <definedName name="MCFs">#REF!</definedName>
    <definedName name="MMFactors">#REF!</definedName>
    <definedName name="MT_per_T">#REF!</definedName>
    <definedName name="N20GWP">#REF!</definedName>
    <definedName name="N2OGWP">#REF!</definedName>
    <definedName name="NetOutElecExports">#REF!</definedName>
    <definedName name="NEU">#REF!</definedName>
    <definedName name="NGCH4meth">#REF!</definedName>
    <definedName name="nobedEF">#REF!</definedName>
    <definedName name="open">#REF!</definedName>
    <definedName name="OxidationFactor">#REF!</definedName>
    <definedName name="PopGrid">#REF!</definedName>
    <definedName name="SelectedState">#REF!</definedName>
    <definedName name="Short_metric">#REF!</definedName>
    <definedName name="SolidEF">#REF!</definedName>
    <definedName name="State">#REF!</definedName>
    <definedName name="StateChoice">#REF!</definedName>
    <definedName name="StateList">#REF!</definedName>
    <definedName name="States">#REF!</definedName>
    <definedName name="StatFactors">#REF!</definedName>
    <definedName name="StorageFactors">#REF!</definedName>
    <definedName name="TransData">#REF!</definedName>
    <definedName name="TransProj">#REF!</definedName>
    <definedName name="UFactor">#REF!</definedName>
    <definedName name="Units">#REF!</definedName>
    <definedName name="VersionDate">#REF!</definedName>
    <definedName name="VersionNumber">#REF!</definedName>
    <definedName name="VolPercent">#REF!</definedName>
    <definedName name="VS_BeefReplace">#REF!</definedName>
    <definedName name="VS_BeefReplace2">#REF!</definedName>
    <definedName name="VS_feedlotheifer">#REF!</definedName>
    <definedName name="VS_feedlotheifer2">#REF!</definedName>
    <definedName name="VS_feedlotsteer">#REF!</definedName>
    <definedName name="VS_feedlotsteer2">#REF!</definedName>
    <definedName name="VS_NOFcows">#REF!</definedName>
    <definedName name="VS_NOFcows2">#REF!</definedName>
    <definedName name="VS_NOFheifers">#REF!</definedName>
    <definedName name="VS_NOFheifers2">#REF!</definedName>
    <definedName name="VS_NOFsteers">#REF!</definedName>
    <definedName name="VS_NOFsteers2">#REF!</definedName>
    <definedName name="VT_mi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6" roundtripDataChecksum="cHx5WyzOVAtrcCbQzRRCSAQoy6sDHbT9e2jChdLLhek="/>
    </ext>
  </extLst>
</workbook>
</file>

<file path=xl/calcChain.xml><?xml version="1.0" encoding="utf-8"?>
<calcChain xmlns="http://schemas.openxmlformats.org/spreadsheetml/2006/main">
  <c r="G293" i="25" l="1"/>
  <c r="A293" i="25"/>
  <c r="G292" i="25"/>
  <c r="A292" i="25"/>
  <c r="G291" i="25"/>
  <c r="A291" i="25"/>
  <c r="G290" i="25"/>
  <c r="A290" i="25"/>
  <c r="G289" i="25"/>
  <c r="A289" i="25"/>
  <c r="G288" i="25"/>
  <c r="A288" i="25"/>
  <c r="G287" i="25"/>
  <c r="A287" i="25"/>
  <c r="G286" i="25"/>
  <c r="A286" i="25"/>
  <c r="G285" i="25"/>
  <c r="A285" i="25"/>
  <c r="G284" i="25"/>
  <c r="A284" i="25"/>
  <c r="G283" i="25"/>
  <c r="A283" i="25"/>
  <c r="G282" i="25"/>
  <c r="A282" i="25"/>
  <c r="G281" i="25"/>
  <c r="A281" i="25"/>
  <c r="G280" i="25"/>
  <c r="A280" i="25"/>
  <c r="G279" i="25"/>
  <c r="A279" i="25"/>
  <c r="G278" i="25"/>
  <c r="A278" i="25"/>
  <c r="G277" i="25"/>
  <c r="A277" i="25"/>
  <c r="G276" i="25"/>
  <c r="A276" i="25"/>
  <c r="G275" i="25"/>
  <c r="A275" i="25"/>
  <c r="G274" i="25"/>
  <c r="A274" i="25"/>
  <c r="G273" i="25"/>
  <c r="A273" i="25"/>
  <c r="G272" i="25"/>
  <c r="A272" i="25"/>
  <c r="G271" i="25"/>
  <c r="A271" i="25"/>
  <c r="G270" i="25"/>
  <c r="A270" i="25"/>
  <c r="G269" i="25"/>
  <c r="A269" i="25"/>
  <c r="G268" i="25"/>
  <c r="A268" i="25"/>
  <c r="G267" i="25"/>
  <c r="A267" i="25"/>
  <c r="G266" i="25"/>
  <c r="A266" i="25"/>
  <c r="G265" i="25"/>
  <c r="A265" i="25"/>
  <c r="G264" i="25"/>
  <c r="A264" i="25"/>
  <c r="G263" i="25"/>
  <c r="A263" i="25"/>
  <c r="G262" i="25"/>
  <c r="A262" i="25"/>
  <c r="G261" i="25"/>
  <c r="A261" i="25"/>
  <c r="G260" i="25"/>
  <c r="A260" i="25"/>
  <c r="G259" i="25"/>
  <c r="A259" i="25"/>
  <c r="G258" i="25"/>
  <c r="A258" i="25"/>
  <c r="G257" i="25"/>
  <c r="A257" i="25"/>
  <c r="G256" i="25"/>
  <c r="A256" i="25"/>
  <c r="G255" i="25"/>
  <c r="A255" i="25"/>
  <c r="G254" i="25"/>
  <c r="A254" i="25"/>
  <c r="G253" i="25"/>
  <c r="A253" i="25"/>
  <c r="G252" i="25"/>
  <c r="A252" i="25"/>
  <c r="G251" i="25"/>
  <c r="A251" i="25"/>
  <c r="G250" i="25"/>
  <c r="A250" i="25"/>
  <c r="G249" i="25"/>
  <c r="A249" i="25"/>
  <c r="G248" i="25"/>
  <c r="A248" i="25"/>
  <c r="G247" i="25"/>
  <c r="A247" i="25"/>
  <c r="G246" i="25"/>
  <c r="A246" i="25"/>
  <c r="G245" i="25"/>
  <c r="A245" i="25"/>
  <c r="G244" i="25"/>
  <c r="A244" i="25"/>
  <c r="G243" i="25"/>
  <c r="A243" i="25"/>
  <c r="G242" i="25"/>
  <c r="A242" i="25"/>
  <c r="G241" i="25"/>
  <c r="A241" i="25"/>
  <c r="G240" i="25"/>
  <c r="A240" i="25"/>
  <c r="G239" i="25"/>
  <c r="A239" i="25"/>
  <c r="G238" i="25"/>
  <c r="A238" i="25"/>
  <c r="G237" i="25"/>
  <c r="A237" i="25"/>
  <c r="G236" i="25"/>
  <c r="A236" i="25"/>
  <c r="G235" i="25"/>
  <c r="A235" i="25"/>
  <c r="G234" i="25"/>
  <c r="A234" i="25"/>
  <c r="G233" i="25"/>
  <c r="A233" i="25"/>
  <c r="G232" i="25"/>
  <c r="A232" i="25"/>
  <c r="G231" i="25"/>
  <c r="A231" i="25"/>
  <c r="G230" i="25"/>
  <c r="A230" i="25"/>
  <c r="G229" i="25"/>
  <c r="A229" i="25"/>
  <c r="G228" i="25"/>
  <c r="A228" i="25"/>
  <c r="G227" i="25"/>
  <c r="A227" i="25"/>
  <c r="G226" i="25"/>
  <c r="A226" i="25"/>
  <c r="G225" i="25"/>
  <c r="A225" i="25"/>
  <c r="G224" i="25"/>
  <c r="A224" i="25"/>
  <c r="G223" i="25"/>
  <c r="A223" i="25"/>
  <c r="G222" i="25"/>
  <c r="A222" i="25"/>
  <c r="G221" i="25"/>
  <c r="A221" i="25"/>
  <c r="G220" i="25"/>
  <c r="A220" i="25"/>
  <c r="G219" i="25"/>
  <c r="A219" i="25"/>
  <c r="G218" i="25"/>
  <c r="A218" i="25"/>
  <c r="G217" i="25"/>
  <c r="A217" i="25"/>
  <c r="G216" i="25"/>
  <c r="A216" i="25"/>
  <c r="G215" i="25"/>
  <c r="A215" i="25"/>
  <c r="G214" i="25"/>
  <c r="A214" i="25"/>
  <c r="G213" i="25"/>
  <c r="A213" i="25"/>
  <c r="G212" i="25"/>
  <c r="A212" i="25"/>
  <c r="G211" i="25"/>
  <c r="A211" i="25"/>
  <c r="G210" i="25"/>
  <c r="A210" i="25"/>
  <c r="G209" i="25"/>
  <c r="A209" i="25"/>
  <c r="G208" i="25"/>
  <c r="A208" i="25"/>
  <c r="G207" i="25"/>
  <c r="A207" i="25"/>
  <c r="G206" i="25"/>
  <c r="A206" i="25"/>
  <c r="G205" i="25"/>
  <c r="A205" i="25"/>
  <c r="G204" i="25"/>
  <c r="A204" i="25"/>
  <c r="G203" i="25"/>
  <c r="A203" i="25"/>
  <c r="G202" i="25"/>
  <c r="A202" i="25"/>
  <c r="G201" i="25"/>
  <c r="A201" i="25"/>
  <c r="G200" i="25"/>
  <c r="A200" i="25"/>
  <c r="G199" i="25"/>
  <c r="A199" i="25"/>
  <c r="G198" i="25"/>
  <c r="A198" i="25"/>
  <c r="G197" i="25"/>
  <c r="A197" i="25"/>
  <c r="G196" i="25"/>
  <c r="A196" i="25"/>
  <c r="G195" i="25"/>
  <c r="A195" i="25"/>
  <c r="G194" i="25"/>
  <c r="A194" i="25"/>
  <c r="G193" i="25"/>
  <c r="A193" i="25"/>
  <c r="G192" i="25"/>
  <c r="A192" i="25"/>
  <c r="G191" i="25"/>
  <c r="A191" i="25"/>
  <c r="G190" i="25"/>
  <c r="A190" i="25"/>
  <c r="G189" i="25"/>
  <c r="A189" i="25"/>
  <c r="G188" i="25"/>
  <c r="A188" i="25"/>
  <c r="G187" i="25"/>
  <c r="A187" i="25"/>
  <c r="G186" i="25"/>
  <c r="A186" i="25"/>
  <c r="G185" i="25"/>
  <c r="A185" i="25"/>
  <c r="G184" i="25"/>
  <c r="A184" i="25"/>
  <c r="G183" i="25"/>
  <c r="A183" i="25"/>
  <c r="G182" i="25"/>
  <c r="A182" i="25"/>
  <c r="G181" i="25"/>
  <c r="A181" i="25"/>
  <c r="G180" i="25"/>
  <c r="A180" i="25"/>
  <c r="G179" i="25"/>
  <c r="A179" i="25"/>
  <c r="G178" i="25"/>
  <c r="A178" i="25"/>
  <c r="G177" i="25"/>
  <c r="A177" i="25"/>
  <c r="G176" i="25"/>
  <c r="A176" i="25"/>
  <c r="G175" i="25"/>
  <c r="A175" i="25"/>
  <c r="G174" i="25"/>
  <c r="A174" i="25"/>
  <c r="G173" i="25"/>
  <c r="A173" i="25"/>
  <c r="G172" i="25"/>
  <c r="A172" i="25"/>
  <c r="G171" i="25"/>
  <c r="A171" i="25"/>
  <c r="G170" i="25"/>
  <c r="A170" i="25"/>
  <c r="G169" i="25"/>
  <c r="A169" i="25"/>
  <c r="G168" i="25"/>
  <c r="A168" i="25"/>
  <c r="G167" i="25"/>
  <c r="A167" i="25"/>
  <c r="G166" i="25"/>
  <c r="A166" i="25"/>
  <c r="G165" i="25"/>
  <c r="A165" i="25"/>
  <c r="G164" i="25"/>
  <c r="A164" i="25"/>
  <c r="G163" i="25"/>
  <c r="A163" i="25"/>
  <c r="G162" i="25"/>
  <c r="A162" i="25"/>
  <c r="G161" i="25"/>
  <c r="A161" i="25"/>
  <c r="G160" i="25"/>
  <c r="A160" i="25"/>
  <c r="G159" i="25"/>
  <c r="A159" i="25"/>
  <c r="G158" i="25"/>
  <c r="A158" i="25"/>
  <c r="G157" i="25"/>
  <c r="A157" i="25"/>
  <c r="G156" i="25"/>
  <c r="A156" i="25"/>
  <c r="G155" i="25"/>
  <c r="A155" i="25"/>
  <c r="G154" i="25"/>
  <c r="A154" i="25"/>
  <c r="G153" i="25"/>
  <c r="A153" i="25"/>
  <c r="G152" i="25"/>
  <c r="A152" i="25"/>
  <c r="G151" i="25"/>
  <c r="A151" i="25"/>
  <c r="G150" i="25"/>
  <c r="A150" i="25"/>
  <c r="G149" i="25"/>
  <c r="A149" i="25"/>
  <c r="G148" i="25"/>
  <c r="A148" i="25"/>
  <c r="G147" i="25"/>
  <c r="A147" i="25"/>
  <c r="G146" i="25"/>
  <c r="A146" i="25"/>
  <c r="G145" i="25"/>
  <c r="A145" i="25"/>
  <c r="G144" i="25"/>
  <c r="A144" i="25"/>
  <c r="G143" i="25"/>
  <c r="A143" i="25"/>
  <c r="G142" i="25"/>
  <c r="A142" i="25"/>
  <c r="G141" i="25"/>
  <c r="A141" i="25"/>
  <c r="G140" i="25"/>
  <c r="A140" i="25"/>
  <c r="G139" i="25"/>
  <c r="A139" i="25"/>
  <c r="G138" i="25"/>
  <c r="A138" i="25"/>
  <c r="G137" i="25"/>
  <c r="A137" i="25"/>
  <c r="G136" i="25"/>
  <c r="A136" i="25"/>
  <c r="G135" i="25"/>
  <c r="A135" i="25"/>
  <c r="G134" i="25"/>
  <c r="A134" i="25"/>
  <c r="G133" i="25"/>
  <c r="A133" i="25"/>
  <c r="G132" i="25"/>
  <c r="A132" i="25"/>
  <c r="G131" i="25"/>
  <c r="A131" i="25"/>
  <c r="G130" i="25"/>
  <c r="A130" i="25"/>
  <c r="G129" i="25"/>
  <c r="A129" i="25"/>
  <c r="G128" i="25"/>
  <c r="A128" i="25"/>
  <c r="G127" i="25"/>
  <c r="A127" i="25"/>
  <c r="G126" i="25"/>
  <c r="A126" i="25"/>
  <c r="G125" i="25"/>
  <c r="A125" i="25"/>
  <c r="G124" i="25"/>
  <c r="A124" i="25"/>
  <c r="G123" i="25"/>
  <c r="A123" i="25"/>
  <c r="G122" i="25"/>
  <c r="A122" i="25"/>
  <c r="G121" i="25"/>
  <c r="A121" i="25"/>
  <c r="G120" i="25"/>
  <c r="A120" i="25"/>
  <c r="G119" i="25"/>
  <c r="A119" i="25"/>
  <c r="G118" i="25"/>
  <c r="A118" i="25"/>
  <c r="G117" i="25"/>
  <c r="A117" i="25"/>
  <c r="G116" i="25"/>
  <c r="A116" i="25"/>
  <c r="G115" i="25"/>
  <c r="A115" i="25"/>
  <c r="G114" i="25"/>
  <c r="A114" i="25"/>
  <c r="G113" i="25"/>
  <c r="A113" i="25"/>
  <c r="G112" i="25"/>
  <c r="A112" i="25"/>
  <c r="G111" i="25"/>
  <c r="A111" i="25"/>
  <c r="G110" i="25"/>
  <c r="A110" i="25"/>
  <c r="G109" i="25"/>
  <c r="A109" i="25"/>
  <c r="G108" i="25"/>
  <c r="A108" i="25"/>
  <c r="G107" i="25"/>
  <c r="A107" i="25"/>
  <c r="G106" i="25"/>
  <c r="A106" i="25"/>
  <c r="G105" i="25"/>
  <c r="A105" i="25"/>
  <c r="G104" i="25"/>
  <c r="A104" i="25"/>
  <c r="G103" i="25"/>
  <c r="A103" i="25"/>
  <c r="G102" i="25"/>
  <c r="A102" i="25"/>
  <c r="G101" i="25"/>
  <c r="A101" i="25"/>
  <c r="G100" i="25"/>
  <c r="A100" i="25"/>
  <c r="G99" i="25"/>
  <c r="A99" i="25"/>
  <c r="G98" i="25"/>
  <c r="A98" i="25"/>
  <c r="G97" i="25"/>
  <c r="A97" i="25"/>
  <c r="G96" i="25"/>
  <c r="A96" i="25"/>
  <c r="G95" i="25"/>
  <c r="A95" i="25"/>
  <c r="G94" i="25"/>
  <c r="A94" i="25"/>
  <c r="G93" i="25"/>
  <c r="A93" i="25"/>
  <c r="G92" i="25"/>
  <c r="A92" i="25"/>
  <c r="G91" i="25"/>
  <c r="A91" i="25"/>
  <c r="G90" i="25"/>
  <c r="A90" i="25"/>
  <c r="G89" i="25"/>
  <c r="A89" i="25"/>
  <c r="G88" i="25"/>
  <c r="A88" i="25"/>
  <c r="G87" i="25"/>
  <c r="A87" i="25"/>
  <c r="G86" i="25"/>
  <c r="A86" i="25"/>
  <c r="G85" i="25"/>
  <c r="A85" i="25"/>
  <c r="G84" i="25"/>
  <c r="A84" i="25"/>
  <c r="G83" i="25"/>
  <c r="A83" i="25"/>
  <c r="G82" i="25"/>
  <c r="A82" i="25"/>
  <c r="G81" i="25"/>
  <c r="A81" i="25"/>
  <c r="G80" i="25"/>
  <c r="A80" i="25"/>
  <c r="G79" i="25"/>
  <c r="A79" i="25"/>
  <c r="G78" i="25"/>
  <c r="A78" i="25"/>
  <c r="G77" i="25"/>
  <c r="A77" i="25"/>
  <c r="G76" i="25"/>
  <c r="A76" i="25"/>
  <c r="G75" i="25"/>
  <c r="A75" i="25"/>
  <c r="G74" i="25"/>
  <c r="A74" i="25"/>
  <c r="G73" i="25"/>
  <c r="A73" i="25"/>
  <c r="G72" i="25"/>
  <c r="A72" i="25"/>
  <c r="G71" i="25"/>
  <c r="A71" i="25"/>
  <c r="G70" i="25"/>
  <c r="A70" i="25"/>
  <c r="G69" i="25"/>
  <c r="A69" i="25"/>
  <c r="G68" i="25"/>
  <c r="A68" i="25"/>
  <c r="G67" i="25"/>
  <c r="A67" i="25"/>
  <c r="G66" i="25"/>
  <c r="A66" i="25"/>
  <c r="G65" i="25"/>
  <c r="A65" i="25"/>
  <c r="G64" i="25"/>
  <c r="A64" i="25"/>
  <c r="G63" i="25"/>
  <c r="A63" i="25"/>
  <c r="G62" i="25"/>
  <c r="A62" i="25"/>
  <c r="G61" i="25"/>
  <c r="A61" i="25"/>
  <c r="G60" i="25"/>
  <c r="A60" i="25"/>
  <c r="G59" i="25"/>
  <c r="A59" i="25"/>
  <c r="G58" i="25"/>
  <c r="A58" i="25"/>
  <c r="G57" i="25"/>
  <c r="A57" i="25"/>
  <c r="G56" i="25"/>
  <c r="A56" i="25"/>
  <c r="G55" i="25"/>
  <c r="A55" i="25"/>
  <c r="G54" i="25"/>
  <c r="A54" i="25"/>
  <c r="G53" i="25"/>
  <c r="A53" i="25"/>
  <c r="G52" i="25"/>
  <c r="A52" i="25"/>
  <c r="G51" i="25"/>
  <c r="A51" i="25"/>
  <c r="G50" i="25"/>
  <c r="A50" i="25"/>
  <c r="G49" i="25"/>
  <c r="A49" i="25"/>
  <c r="G48" i="25"/>
  <c r="A48" i="25"/>
  <c r="G47" i="25"/>
  <c r="A47" i="25"/>
  <c r="G46" i="25"/>
  <c r="A46" i="25"/>
  <c r="G45" i="25"/>
  <c r="A45" i="25"/>
  <c r="G44" i="25"/>
  <c r="A44" i="25"/>
  <c r="G43" i="25"/>
  <c r="A43" i="25"/>
  <c r="G42" i="25"/>
  <c r="A42" i="25"/>
  <c r="G41" i="25"/>
  <c r="A41" i="25"/>
  <c r="G40" i="25"/>
  <c r="A40" i="25"/>
  <c r="G39" i="25"/>
  <c r="A39" i="25"/>
  <c r="G38" i="25"/>
  <c r="A38" i="25"/>
  <c r="G37" i="25"/>
  <c r="A37" i="25"/>
  <c r="G36" i="25"/>
  <c r="A36" i="25"/>
  <c r="G35" i="25"/>
  <c r="A35" i="25"/>
  <c r="G34" i="25"/>
  <c r="A34" i="25"/>
  <c r="G33" i="25"/>
  <c r="A33" i="25"/>
  <c r="G32" i="25"/>
  <c r="A32" i="25"/>
  <c r="A31" i="25"/>
  <c r="A30" i="25"/>
  <c r="G29" i="25"/>
  <c r="A29" i="25"/>
  <c r="G28" i="25"/>
  <c r="A28" i="25"/>
  <c r="G27" i="25"/>
  <c r="A27" i="25"/>
  <c r="G26" i="25"/>
  <c r="A26" i="25"/>
  <c r="G25" i="25"/>
  <c r="A25" i="25"/>
  <c r="G24" i="25"/>
  <c r="A24" i="25"/>
  <c r="G23" i="25"/>
  <c r="A23" i="25"/>
  <c r="G22" i="25"/>
  <c r="A22" i="25"/>
  <c r="G21" i="25"/>
  <c r="A21" i="25"/>
  <c r="G20" i="25"/>
  <c r="A20" i="25"/>
  <c r="G19" i="25"/>
  <c r="A19" i="25"/>
  <c r="G18" i="25"/>
  <c r="A18" i="25"/>
  <c r="G17" i="25"/>
  <c r="A17" i="25"/>
  <c r="A16" i="25"/>
  <c r="A15" i="25"/>
  <c r="G14" i="25"/>
  <c r="A14" i="25"/>
  <c r="G13" i="25"/>
  <c r="A13" i="25"/>
  <c r="G12" i="25"/>
  <c r="A12" i="25"/>
  <c r="G11" i="25"/>
  <c r="A11" i="25"/>
  <c r="G10" i="25"/>
  <c r="A10" i="25"/>
  <c r="G9" i="25"/>
  <c r="A9" i="25"/>
  <c r="G8" i="25"/>
  <c r="A8" i="25"/>
  <c r="G7" i="25"/>
  <c r="A7" i="25"/>
  <c r="G6" i="25"/>
  <c r="A6" i="25"/>
  <c r="G5" i="25"/>
  <c r="A5" i="25"/>
  <c r="G4" i="25"/>
  <c r="A4" i="25"/>
  <c r="G3" i="25"/>
  <c r="A3" i="25"/>
  <c r="G2" i="25"/>
  <c r="A2" i="25"/>
  <c r="E132" i="7"/>
  <c r="D132" i="7"/>
  <c r="C132" i="7"/>
  <c r="E131" i="7"/>
  <c r="D131" i="7"/>
  <c r="C131" i="7"/>
  <c r="F131" i="7" s="1"/>
  <c r="E130" i="7"/>
  <c r="D130" i="7"/>
  <c r="C130" i="7"/>
  <c r="E129" i="7"/>
  <c r="D129" i="7"/>
  <c r="C129" i="7"/>
  <c r="F129" i="7" s="1"/>
  <c r="F69" i="6"/>
  <c r="E69" i="6"/>
  <c r="D69" i="6"/>
  <c r="C69" i="6"/>
  <c r="F68" i="6"/>
  <c r="E68" i="6"/>
  <c r="D68" i="6"/>
  <c r="C68" i="6"/>
  <c r="F67" i="6"/>
  <c r="E67" i="6"/>
  <c r="D67" i="6"/>
  <c r="C67" i="6"/>
  <c r="F66" i="6"/>
  <c r="F70" i="6" s="1"/>
  <c r="E66" i="6"/>
  <c r="D66" i="6"/>
  <c r="C66" i="6"/>
  <c r="F61" i="5"/>
  <c r="E61" i="5"/>
  <c r="D61" i="5"/>
  <c r="C61" i="5"/>
  <c r="F60" i="5"/>
  <c r="E60" i="5"/>
  <c r="D60" i="5"/>
  <c r="C60" i="5"/>
  <c r="F59" i="5"/>
  <c r="E59" i="5"/>
  <c r="D59" i="5"/>
  <c r="C59" i="5"/>
  <c r="F58" i="5"/>
  <c r="F62" i="5" s="1"/>
  <c r="E58" i="5"/>
  <c r="D58" i="5"/>
  <c r="C58" i="5"/>
  <c r="D45" i="12"/>
  <c r="C277" i="23"/>
  <c r="E174" i="1"/>
  <c r="E181" i="1"/>
  <c r="E180" i="1"/>
  <c r="E178" i="1"/>
  <c r="E177" i="1"/>
  <c r="E176" i="1"/>
  <c r="E172" i="1"/>
  <c r="E171" i="1"/>
  <c r="C258" i="23"/>
  <c r="C257" i="23"/>
  <c r="C256" i="23"/>
  <c r="C254" i="23"/>
  <c r="C253" i="23"/>
  <c r="C252" i="23"/>
  <c r="C91" i="23"/>
  <c r="C90" i="23"/>
  <c r="C89" i="23"/>
  <c r="C88" i="23"/>
  <c r="C87" i="23"/>
  <c r="C86" i="23"/>
  <c r="J5" i="23"/>
  <c r="J6" i="23"/>
  <c r="J7" i="23"/>
  <c r="J4" i="23"/>
  <c r="K3" i="23"/>
  <c r="K5" i="23"/>
  <c r="K6" i="23"/>
  <c r="K7" i="23"/>
  <c r="K4" i="23"/>
  <c r="C281" i="23"/>
  <c r="C275" i="23"/>
  <c r="C274" i="23"/>
  <c r="C267" i="23"/>
  <c r="C266" i="23"/>
  <c r="C255" i="23"/>
  <c r="C284" i="23" s="1"/>
  <c r="C251" i="23"/>
  <c r="C283" i="23" s="1"/>
  <c r="C148" i="23"/>
  <c r="C92" i="23"/>
  <c r="C273" i="23"/>
  <c r="E113" i="1"/>
  <c r="U192" i="24"/>
  <c r="T192" i="24"/>
  <c r="AL190" i="24"/>
  <c r="AK190" i="24"/>
  <c r="AJ190" i="24"/>
  <c r="AI190" i="24"/>
  <c r="AH190" i="24"/>
  <c r="AG190" i="24"/>
  <c r="AF190" i="24"/>
  <c r="AE190" i="24"/>
  <c r="AD190" i="24"/>
  <c r="AC190" i="24"/>
  <c r="AB190" i="24"/>
  <c r="AA190" i="24"/>
  <c r="Z190" i="24"/>
  <c r="Y190" i="24"/>
  <c r="X190" i="24"/>
  <c r="W190" i="24"/>
  <c r="V190" i="24"/>
  <c r="U190" i="24"/>
  <c r="T190" i="24"/>
  <c r="S190" i="24"/>
  <c r="R190" i="24"/>
  <c r="Q190" i="24"/>
  <c r="P190" i="24"/>
  <c r="O190" i="24"/>
  <c r="N190" i="24"/>
  <c r="M190" i="24"/>
  <c r="L190" i="24"/>
  <c r="K190" i="24"/>
  <c r="J190" i="24"/>
  <c r="I190" i="24"/>
  <c r="H190" i="24"/>
  <c r="G190" i="24"/>
  <c r="F190" i="24"/>
  <c r="AL189" i="24"/>
  <c r="AK189" i="24"/>
  <c r="AJ189" i="24"/>
  <c r="AI189" i="24"/>
  <c r="AH189" i="24"/>
  <c r="AG189" i="24"/>
  <c r="AF189" i="24"/>
  <c r="AE189" i="24"/>
  <c r="AD189" i="24"/>
  <c r="AC189" i="24"/>
  <c r="AB189" i="24"/>
  <c r="AA189" i="24"/>
  <c r="Z189" i="24"/>
  <c r="Y189" i="24"/>
  <c r="X189" i="24"/>
  <c r="W189" i="24"/>
  <c r="V189" i="24"/>
  <c r="U189" i="24"/>
  <c r="T189" i="24"/>
  <c r="S189" i="24"/>
  <c r="R189" i="24"/>
  <c r="Q189" i="24"/>
  <c r="P189" i="24"/>
  <c r="O189" i="24"/>
  <c r="N189" i="24"/>
  <c r="M189" i="24"/>
  <c r="L189" i="24"/>
  <c r="K189" i="24"/>
  <c r="J189" i="24"/>
  <c r="I189" i="24"/>
  <c r="H189" i="24"/>
  <c r="G189" i="24"/>
  <c r="F189" i="24"/>
  <c r="AL188" i="24"/>
  <c r="AK188" i="24"/>
  <c r="AJ188" i="24"/>
  <c r="AI188" i="24"/>
  <c r="AH188" i="24"/>
  <c r="AG188" i="24"/>
  <c r="AF188" i="24"/>
  <c r="AE188" i="24"/>
  <c r="AE192" i="24" s="1"/>
  <c r="AD188" i="24"/>
  <c r="AC188" i="24"/>
  <c r="AB188" i="24"/>
  <c r="AA188" i="24"/>
  <c r="Z188" i="24"/>
  <c r="Y188" i="24"/>
  <c r="X188" i="24"/>
  <c r="W188" i="24"/>
  <c r="V188" i="24"/>
  <c r="U188" i="24"/>
  <c r="T188" i="24"/>
  <c r="S188" i="24"/>
  <c r="R188" i="24"/>
  <c r="Q188" i="24"/>
  <c r="P188" i="24"/>
  <c r="O188" i="24"/>
  <c r="N188" i="24"/>
  <c r="M188" i="24"/>
  <c r="L188" i="24"/>
  <c r="K188" i="24"/>
  <c r="K192" i="24" s="1"/>
  <c r="J188" i="24"/>
  <c r="I188" i="24"/>
  <c r="H188" i="24"/>
  <c r="G188" i="24"/>
  <c r="F188" i="24"/>
  <c r="AL187" i="24"/>
  <c r="AK187" i="24"/>
  <c r="AJ187" i="24"/>
  <c r="AI187" i="24"/>
  <c r="AH187" i="24"/>
  <c r="AH192" i="24" s="1"/>
  <c r="AG187" i="24"/>
  <c r="AF187" i="24"/>
  <c r="AE187" i="24"/>
  <c r="AD187" i="24"/>
  <c r="AC187" i="24"/>
  <c r="AB187" i="24"/>
  <c r="AA187" i="24"/>
  <c r="Z187" i="24"/>
  <c r="Y187" i="24"/>
  <c r="X187" i="24"/>
  <c r="X192" i="24" s="1"/>
  <c r="W187" i="24"/>
  <c r="V187" i="24"/>
  <c r="V192" i="24" s="1"/>
  <c r="U187" i="24"/>
  <c r="T187" i="24"/>
  <c r="S187" i="24"/>
  <c r="R187" i="24"/>
  <c r="Q187" i="24"/>
  <c r="P187" i="24"/>
  <c r="O187" i="24"/>
  <c r="N187" i="24"/>
  <c r="N192" i="24" s="1"/>
  <c r="M187" i="24"/>
  <c r="L187" i="24"/>
  <c r="K187" i="24"/>
  <c r="J187" i="24"/>
  <c r="I187" i="24"/>
  <c r="H187" i="24"/>
  <c r="G187" i="24"/>
  <c r="F187" i="24"/>
  <c r="AL186" i="24"/>
  <c r="AK186" i="24"/>
  <c r="AJ186" i="24"/>
  <c r="AI186" i="24"/>
  <c r="AH186" i="24"/>
  <c r="AG186" i="24"/>
  <c r="AF186" i="24"/>
  <c r="AE186" i="24"/>
  <c r="AD186" i="24"/>
  <c r="AC186" i="24"/>
  <c r="AB186" i="24"/>
  <c r="AA186" i="24"/>
  <c r="Z186" i="24"/>
  <c r="Y186" i="24"/>
  <c r="X186" i="24"/>
  <c r="W186" i="24"/>
  <c r="V186" i="24"/>
  <c r="U186" i="24"/>
  <c r="T186" i="24"/>
  <c r="S186" i="24"/>
  <c r="R186" i="24"/>
  <c r="Q186" i="24"/>
  <c r="P186" i="24"/>
  <c r="O186" i="24"/>
  <c r="N186" i="24"/>
  <c r="M186" i="24"/>
  <c r="L186" i="24"/>
  <c r="K186" i="24"/>
  <c r="J186" i="24"/>
  <c r="I186" i="24"/>
  <c r="H186" i="24"/>
  <c r="G186" i="24"/>
  <c r="F186" i="24"/>
  <c r="AL185" i="24"/>
  <c r="AL192" i="24" s="1"/>
  <c r="AK185" i="24"/>
  <c r="AJ185" i="24"/>
  <c r="AI185" i="24"/>
  <c r="AH185" i="24"/>
  <c r="AG185" i="24"/>
  <c r="AF185" i="24"/>
  <c r="AE185" i="24"/>
  <c r="AD185" i="24"/>
  <c r="AD192" i="24" s="1"/>
  <c r="AC185" i="24"/>
  <c r="AB185" i="24"/>
  <c r="AB192" i="24" s="1"/>
  <c r="AA185" i="24"/>
  <c r="Z185" i="24"/>
  <c r="Y185" i="24"/>
  <c r="X185" i="24"/>
  <c r="W185" i="24"/>
  <c r="V185" i="24"/>
  <c r="U185" i="24"/>
  <c r="T185" i="24"/>
  <c r="S185" i="24"/>
  <c r="R185" i="24"/>
  <c r="R192" i="24" s="1"/>
  <c r="Q185" i="24"/>
  <c r="P185" i="24"/>
  <c r="O185" i="24"/>
  <c r="N185" i="24"/>
  <c r="M185" i="24"/>
  <c r="L185" i="24"/>
  <c r="K185" i="24"/>
  <c r="J185" i="24"/>
  <c r="J192" i="24" s="1"/>
  <c r="I185" i="24"/>
  <c r="H185" i="24"/>
  <c r="H192" i="24" s="1"/>
  <c r="G185" i="24"/>
  <c r="F185" i="24"/>
  <c r="Z158" i="24"/>
  <c r="AH156" i="24"/>
  <c r="AG156" i="24"/>
  <c r="AF156" i="24"/>
  <c r="AL154" i="24"/>
  <c r="AK154" i="24"/>
  <c r="AJ154" i="24"/>
  <c r="AI154" i="24"/>
  <c r="AH154" i="24"/>
  <c r="AG154" i="24"/>
  <c r="AF154" i="24"/>
  <c r="AE154" i="24"/>
  <c r="AD154" i="24"/>
  <c r="AC154" i="24"/>
  <c r="AB154" i="24"/>
  <c r="AA154" i="24"/>
  <c r="Z154" i="24"/>
  <c r="Y154" i="24"/>
  <c r="X154" i="24"/>
  <c r="W154" i="24"/>
  <c r="V154" i="24"/>
  <c r="U154" i="24"/>
  <c r="T154" i="24"/>
  <c r="S154" i="24"/>
  <c r="R154" i="24"/>
  <c r="Q154" i="24"/>
  <c r="Q158" i="24" s="1"/>
  <c r="P154" i="24"/>
  <c r="P158" i="24" s="1"/>
  <c r="O154" i="24"/>
  <c r="N154" i="24"/>
  <c r="M154" i="24"/>
  <c r="L154" i="24"/>
  <c r="K154" i="24"/>
  <c r="J154" i="24"/>
  <c r="I154" i="24"/>
  <c r="H154" i="24"/>
  <c r="G154" i="24"/>
  <c r="F154" i="24"/>
  <c r="AL153" i="24"/>
  <c r="AL158" i="24" s="1"/>
  <c r="AK153" i="24"/>
  <c r="AK158" i="24" s="1"/>
  <c r="AJ153" i="24"/>
  <c r="AI153" i="24"/>
  <c r="AH153" i="24"/>
  <c r="AH158" i="24" s="1"/>
  <c r="AG153" i="24"/>
  <c r="AF153" i="24"/>
  <c r="AF158" i="24" s="1"/>
  <c r="AE153" i="24"/>
  <c r="AE158" i="24" s="1"/>
  <c r="AD153" i="24"/>
  <c r="AD158" i="24" s="1"/>
  <c r="AC153" i="24"/>
  <c r="AC158" i="24" s="1"/>
  <c r="AB153" i="24"/>
  <c r="AB158" i="24" s="1"/>
  <c r="AA153" i="24"/>
  <c r="AA158" i="24" s="1"/>
  <c r="Z153" i="24"/>
  <c r="Y153" i="24"/>
  <c r="X153" i="24"/>
  <c r="X158" i="24" s="1"/>
  <c r="W153" i="24"/>
  <c r="V153" i="24"/>
  <c r="V158" i="24" s="1"/>
  <c r="U153" i="24"/>
  <c r="U158" i="24" s="1"/>
  <c r="T153" i="24"/>
  <c r="T158" i="24" s="1"/>
  <c r="S153" i="24"/>
  <c r="S158" i="24" s="1"/>
  <c r="R153" i="24"/>
  <c r="R158" i="24" s="1"/>
  <c r="Q153" i="24"/>
  <c r="P153" i="24"/>
  <c r="O153" i="24"/>
  <c r="N153" i="24"/>
  <c r="N158" i="24" s="1"/>
  <c r="M153" i="24"/>
  <c r="L153" i="24"/>
  <c r="L158" i="24" s="1"/>
  <c r="K153" i="24"/>
  <c r="K158" i="24" s="1"/>
  <c r="J153" i="24"/>
  <c r="J158" i="24" s="1"/>
  <c r="I153" i="24"/>
  <c r="I158" i="24" s="1"/>
  <c r="H153" i="24"/>
  <c r="H158" i="24" s="1"/>
  <c r="G153" i="24"/>
  <c r="G158" i="24" s="1"/>
  <c r="F153" i="24"/>
  <c r="AL152" i="24"/>
  <c r="AK152" i="24"/>
  <c r="AJ152" i="24"/>
  <c r="AI152" i="24"/>
  <c r="AH152" i="24"/>
  <c r="AG152" i="24"/>
  <c r="AF152" i="24"/>
  <c r="AE152" i="24"/>
  <c r="AD152" i="24"/>
  <c r="AC152" i="24"/>
  <c r="AB152" i="24"/>
  <c r="AA152" i="24"/>
  <c r="Z152" i="24"/>
  <c r="Y152" i="24"/>
  <c r="X152" i="24"/>
  <c r="W152" i="24"/>
  <c r="V152" i="24"/>
  <c r="U152" i="24"/>
  <c r="U157" i="24" s="1"/>
  <c r="T152" i="24"/>
  <c r="S152" i="24"/>
  <c r="R152" i="24"/>
  <c r="Q152" i="24"/>
  <c r="P152" i="24"/>
  <c r="O152" i="24"/>
  <c r="N152" i="24"/>
  <c r="M152" i="24"/>
  <c r="L152" i="24"/>
  <c r="K152" i="24"/>
  <c r="J152" i="24"/>
  <c r="I152" i="24"/>
  <c r="H152" i="24"/>
  <c r="G152" i="24"/>
  <c r="F152" i="24"/>
  <c r="AL151" i="24"/>
  <c r="AK151" i="24"/>
  <c r="AJ151" i="24"/>
  <c r="AI151" i="24"/>
  <c r="AH151" i="24"/>
  <c r="AG151" i="24"/>
  <c r="AF151" i="24"/>
  <c r="AE151" i="24"/>
  <c r="AD151" i="24"/>
  <c r="AC151" i="24"/>
  <c r="AB151" i="24"/>
  <c r="AA151" i="24"/>
  <c r="Z151" i="24"/>
  <c r="Y151" i="24"/>
  <c r="X151" i="24"/>
  <c r="W151" i="24"/>
  <c r="V151" i="24"/>
  <c r="U151" i="24"/>
  <c r="T151" i="24"/>
  <c r="S151" i="24"/>
  <c r="R151" i="24"/>
  <c r="Q151" i="24"/>
  <c r="P151" i="24"/>
  <c r="O151" i="24"/>
  <c r="N151" i="24"/>
  <c r="M151" i="24"/>
  <c r="L151" i="24"/>
  <c r="K151" i="24"/>
  <c r="J151" i="24"/>
  <c r="I151" i="24"/>
  <c r="H151" i="24"/>
  <c r="G151" i="24"/>
  <c r="F151" i="24"/>
  <c r="AL150" i="24"/>
  <c r="AK150" i="24"/>
  <c r="AJ150" i="24"/>
  <c r="AI150" i="24"/>
  <c r="AH150" i="24"/>
  <c r="AG150" i="24"/>
  <c r="AF150" i="24"/>
  <c r="AE150" i="24"/>
  <c r="AD150" i="24"/>
  <c r="AC150" i="24"/>
  <c r="AB150" i="24"/>
  <c r="AA150" i="24"/>
  <c r="Z150" i="24"/>
  <c r="Y150" i="24"/>
  <c r="X150" i="24"/>
  <c r="W150" i="24"/>
  <c r="V150" i="24"/>
  <c r="U150" i="24"/>
  <c r="T150" i="24"/>
  <c r="S150" i="24"/>
  <c r="R150" i="24"/>
  <c r="Q150" i="24"/>
  <c r="P150" i="24"/>
  <c r="O150" i="24"/>
  <c r="N150" i="24"/>
  <c r="M150" i="24"/>
  <c r="L150" i="24"/>
  <c r="K150" i="24"/>
  <c r="J150" i="24"/>
  <c r="I150" i="24"/>
  <c r="H150" i="24"/>
  <c r="G150" i="24"/>
  <c r="F150" i="24"/>
  <c r="AL149" i="24"/>
  <c r="AK149" i="24"/>
  <c r="AJ149" i="24"/>
  <c r="AI149" i="24"/>
  <c r="AH149" i="24"/>
  <c r="AG149" i="24"/>
  <c r="AF149" i="24"/>
  <c r="AE149" i="24"/>
  <c r="AD149" i="24"/>
  <c r="AC149" i="24"/>
  <c r="AB149" i="24"/>
  <c r="AA149" i="24"/>
  <c r="Z149" i="24"/>
  <c r="Y149" i="24"/>
  <c r="X149" i="24"/>
  <c r="W149" i="24"/>
  <c r="V149" i="24"/>
  <c r="U149" i="24"/>
  <c r="T149" i="24"/>
  <c r="S149" i="24"/>
  <c r="R149" i="24"/>
  <c r="Q149" i="24"/>
  <c r="P149" i="24"/>
  <c r="O149" i="24"/>
  <c r="N149" i="24"/>
  <c r="M149" i="24"/>
  <c r="L149" i="24"/>
  <c r="K149" i="24"/>
  <c r="J149" i="24"/>
  <c r="I149" i="24"/>
  <c r="H149" i="24"/>
  <c r="G149" i="24"/>
  <c r="F149" i="24"/>
  <c r="AL148" i="24"/>
  <c r="AK148" i="24"/>
  <c r="AJ148" i="24"/>
  <c r="AI148" i="24"/>
  <c r="AH148" i="24"/>
  <c r="AG148" i="24"/>
  <c r="AF148" i="24"/>
  <c r="AE148" i="24"/>
  <c r="AD148" i="24"/>
  <c r="AC148" i="24"/>
  <c r="AB148" i="24"/>
  <c r="AA148" i="24"/>
  <c r="Z148" i="24"/>
  <c r="Y148" i="24"/>
  <c r="X148" i="24"/>
  <c r="W148" i="24"/>
  <c r="V148" i="24"/>
  <c r="U148" i="24"/>
  <c r="T148" i="24"/>
  <c r="S148" i="24"/>
  <c r="R148" i="24"/>
  <c r="Q148" i="24"/>
  <c r="P148" i="24"/>
  <c r="O148" i="24"/>
  <c r="N148" i="24"/>
  <c r="M148" i="24"/>
  <c r="L148" i="24"/>
  <c r="K148" i="24"/>
  <c r="J148" i="24"/>
  <c r="I148" i="24"/>
  <c r="H148" i="24"/>
  <c r="G148" i="24"/>
  <c r="F148" i="24"/>
  <c r="AL147" i="24"/>
  <c r="AK147" i="24"/>
  <c r="AJ147" i="24"/>
  <c r="AI147" i="24"/>
  <c r="AH147" i="24"/>
  <c r="AG147" i="24"/>
  <c r="AF147" i="24"/>
  <c r="AE147" i="24"/>
  <c r="AD147" i="24"/>
  <c r="AC147" i="24"/>
  <c r="AB147" i="24"/>
  <c r="AA147" i="24"/>
  <c r="Z147" i="24"/>
  <c r="Y147" i="24"/>
  <c r="X147" i="24"/>
  <c r="W147" i="24"/>
  <c r="V147" i="24"/>
  <c r="U147" i="24"/>
  <c r="T147" i="24"/>
  <c r="S147" i="24"/>
  <c r="R147" i="24"/>
  <c r="Q147" i="24"/>
  <c r="P147" i="24"/>
  <c r="O147" i="24"/>
  <c r="N147" i="24"/>
  <c r="M147" i="24"/>
  <c r="L147" i="24"/>
  <c r="K147" i="24"/>
  <c r="J147" i="24"/>
  <c r="I147" i="24"/>
  <c r="H147" i="24"/>
  <c r="G147" i="24"/>
  <c r="F147" i="24"/>
  <c r="AL146" i="24"/>
  <c r="AL157" i="24" s="1"/>
  <c r="AK146" i="24"/>
  <c r="AJ146" i="24"/>
  <c r="AI146" i="24"/>
  <c r="AH146" i="24"/>
  <c r="AG146" i="24"/>
  <c r="AF146" i="24"/>
  <c r="AF157" i="24" s="1"/>
  <c r="AE146" i="24"/>
  <c r="AE157" i="24" s="1"/>
  <c r="AD146" i="24"/>
  <c r="AC146" i="24"/>
  <c r="AB146" i="24"/>
  <c r="AB157" i="24" s="1"/>
  <c r="AA146" i="24"/>
  <c r="Z146" i="24"/>
  <c r="Y146" i="24"/>
  <c r="X146" i="24"/>
  <c r="W146" i="24"/>
  <c r="V146" i="24"/>
  <c r="V157" i="24" s="1"/>
  <c r="U146" i="24"/>
  <c r="T146" i="24"/>
  <c r="S146" i="24"/>
  <c r="R146" i="24"/>
  <c r="R157" i="24" s="1"/>
  <c r="Q146" i="24"/>
  <c r="P146" i="24"/>
  <c r="O146" i="24"/>
  <c r="N146" i="24"/>
  <c r="M146" i="24"/>
  <c r="L146" i="24"/>
  <c r="L157" i="24" s="1"/>
  <c r="K146" i="24"/>
  <c r="J146" i="24"/>
  <c r="I146" i="24"/>
  <c r="H146" i="24"/>
  <c r="H157" i="24" s="1"/>
  <c r="G146" i="24"/>
  <c r="F146" i="24"/>
  <c r="AL145" i="24"/>
  <c r="AL156" i="24" s="1"/>
  <c r="AK145" i="24"/>
  <c r="AK156" i="24" s="1"/>
  <c r="AJ145" i="24"/>
  <c r="AJ156" i="24" s="1"/>
  <c r="AI145" i="24"/>
  <c r="AI156" i="24" s="1"/>
  <c r="AH145" i="24"/>
  <c r="AG145" i="24"/>
  <c r="AF145" i="24"/>
  <c r="AE145" i="24"/>
  <c r="AE156" i="24" s="1"/>
  <c r="AD145" i="24"/>
  <c r="AD156" i="24" s="1"/>
  <c r="AC145" i="24"/>
  <c r="AC156" i="24" s="1"/>
  <c r="AB145" i="24"/>
  <c r="AB156" i="24" s="1"/>
  <c r="AA145" i="24"/>
  <c r="AA156" i="24" s="1"/>
  <c r="Z145" i="24"/>
  <c r="Z156" i="24" s="1"/>
  <c r="Y145" i="24"/>
  <c r="Y156" i="24" s="1"/>
  <c r="X145" i="24"/>
  <c r="X156" i="24" s="1"/>
  <c r="W145" i="24"/>
  <c r="W156" i="24" s="1"/>
  <c r="V145" i="24"/>
  <c r="V156" i="24" s="1"/>
  <c r="U145" i="24"/>
  <c r="U156" i="24" s="1"/>
  <c r="U160" i="24" s="1"/>
  <c r="T145" i="24"/>
  <c r="T156" i="24" s="1"/>
  <c r="S145" i="24"/>
  <c r="S156" i="24" s="1"/>
  <c r="R145" i="24"/>
  <c r="R156" i="24" s="1"/>
  <c r="Q145" i="24"/>
  <c r="Q156" i="24" s="1"/>
  <c r="P145" i="24"/>
  <c r="P156" i="24" s="1"/>
  <c r="O145" i="24"/>
  <c r="O156" i="24" s="1"/>
  <c r="N145" i="24"/>
  <c r="N156" i="24" s="1"/>
  <c r="M145" i="24"/>
  <c r="M156" i="24" s="1"/>
  <c r="L145" i="24"/>
  <c r="L156" i="24" s="1"/>
  <c r="K145" i="24"/>
  <c r="K156" i="24" s="1"/>
  <c r="J145" i="24"/>
  <c r="J156" i="24" s="1"/>
  <c r="I145" i="24"/>
  <c r="I156" i="24" s="1"/>
  <c r="H145" i="24"/>
  <c r="H156" i="24" s="1"/>
  <c r="G145" i="24"/>
  <c r="G156" i="24" s="1"/>
  <c r="F145" i="24"/>
  <c r="F156" i="24" s="1"/>
  <c r="AL139" i="24"/>
  <c r="AL172" i="24" s="1"/>
  <c r="AI139" i="24"/>
  <c r="AI172" i="24" s="1"/>
  <c r="AH139" i="24"/>
  <c r="AH172" i="24" s="1"/>
  <c r="E139" i="24"/>
  <c r="D139" i="24"/>
  <c r="C139" i="24"/>
  <c r="B139" i="24"/>
  <c r="D138" i="24"/>
  <c r="E138" i="24" s="1"/>
  <c r="C138" i="24"/>
  <c r="B138" i="24"/>
  <c r="L137" i="24"/>
  <c r="I137" i="24"/>
  <c r="D137" i="24"/>
  <c r="C137" i="24"/>
  <c r="B137" i="24"/>
  <c r="D136" i="24"/>
  <c r="C136" i="24"/>
  <c r="B136" i="24"/>
  <c r="D135" i="24"/>
  <c r="C135" i="24"/>
  <c r="B135" i="24"/>
  <c r="D134" i="24"/>
  <c r="C134" i="24"/>
  <c r="B134" i="24"/>
  <c r="D133" i="24"/>
  <c r="C133" i="24"/>
  <c r="B133" i="24"/>
  <c r="D132" i="24"/>
  <c r="C132" i="24"/>
  <c r="B132" i="24"/>
  <c r="D131" i="24"/>
  <c r="C131" i="24"/>
  <c r="B131" i="24"/>
  <c r="D130" i="24"/>
  <c r="C130" i="24"/>
  <c r="B130" i="24"/>
  <c r="D129" i="24"/>
  <c r="C129" i="24"/>
  <c r="B129" i="24"/>
  <c r="D128" i="24"/>
  <c r="C128" i="24"/>
  <c r="B128" i="24"/>
  <c r="D127" i="24"/>
  <c r="C127" i="24"/>
  <c r="B127" i="24"/>
  <c r="D126" i="24"/>
  <c r="C126" i="24"/>
  <c r="B126" i="24"/>
  <c r="D125" i="24"/>
  <c r="C125" i="24"/>
  <c r="B125" i="24"/>
  <c r="D124" i="24"/>
  <c r="C124" i="24"/>
  <c r="B124" i="24"/>
  <c r="D123" i="24"/>
  <c r="C123" i="24"/>
  <c r="B123" i="24"/>
  <c r="D122" i="24"/>
  <c r="C122" i="24"/>
  <c r="B122" i="24"/>
  <c r="D121" i="24"/>
  <c r="C121" i="24"/>
  <c r="B121" i="24"/>
  <c r="D120" i="24"/>
  <c r="C120" i="24"/>
  <c r="B120" i="24"/>
  <c r="AK119" i="24"/>
  <c r="AK170" i="24" s="1"/>
  <c r="AI119" i="24"/>
  <c r="AI170" i="24" s="1"/>
  <c r="AH119" i="24"/>
  <c r="AH170" i="24" s="1"/>
  <c r="O119" i="24"/>
  <c r="O170" i="24" s="1"/>
  <c r="N119" i="24"/>
  <c r="N170" i="24" s="1"/>
  <c r="M119" i="24"/>
  <c r="M170" i="24" s="1"/>
  <c r="G119" i="24"/>
  <c r="G170" i="24" s="1"/>
  <c r="E119" i="24"/>
  <c r="AA119" i="24" s="1"/>
  <c r="AA170" i="24" s="1"/>
  <c r="D119" i="24"/>
  <c r="C119" i="24"/>
  <c r="B119" i="24"/>
  <c r="D118" i="24"/>
  <c r="C118" i="24"/>
  <c r="B118" i="24"/>
  <c r="AL117" i="24"/>
  <c r="R117" i="24"/>
  <c r="Q117" i="24"/>
  <c r="K117" i="24"/>
  <c r="D117" i="24"/>
  <c r="C117" i="24"/>
  <c r="B117" i="24"/>
  <c r="H116" i="24"/>
  <c r="H168" i="24" s="1"/>
  <c r="F116" i="24"/>
  <c r="F168" i="24" s="1"/>
  <c r="D116" i="24"/>
  <c r="C116" i="24"/>
  <c r="B116" i="24"/>
  <c r="D115" i="24"/>
  <c r="C115" i="24"/>
  <c r="B115" i="24"/>
  <c r="R114" i="24"/>
  <c r="L114" i="24"/>
  <c r="D114" i="24"/>
  <c r="C114" i="24"/>
  <c r="B114" i="24"/>
  <c r="AK113" i="24"/>
  <c r="AJ113" i="24"/>
  <c r="AI113" i="24"/>
  <c r="AC113" i="24"/>
  <c r="O113" i="24"/>
  <c r="I113" i="24"/>
  <c r="G113" i="24"/>
  <c r="F113" i="24"/>
  <c r="E113" i="24"/>
  <c r="Z113" i="24" s="1"/>
  <c r="D113" i="24"/>
  <c r="C113" i="24"/>
  <c r="B113" i="24"/>
  <c r="Z112" i="24"/>
  <c r="X112" i="24"/>
  <c r="D112" i="24"/>
  <c r="E112" i="24" s="1"/>
  <c r="AH112" i="24" s="1"/>
  <c r="C112" i="24"/>
  <c r="B112" i="24"/>
  <c r="AG111" i="24"/>
  <c r="AE111" i="24"/>
  <c r="AC111" i="24"/>
  <c r="W111" i="24"/>
  <c r="U111" i="24"/>
  <c r="T111" i="24"/>
  <c r="S111" i="24"/>
  <c r="M111" i="24"/>
  <c r="K111" i="24"/>
  <c r="J111" i="24"/>
  <c r="I111" i="24"/>
  <c r="D111" i="24"/>
  <c r="E111" i="24" s="1"/>
  <c r="C111" i="24"/>
  <c r="B111" i="24"/>
  <c r="AK110" i="24"/>
  <c r="AJ110" i="24"/>
  <c r="AD110" i="24"/>
  <c r="AB110" i="24"/>
  <c r="J110" i="24"/>
  <c r="H110" i="24"/>
  <c r="G110" i="24"/>
  <c r="F110" i="24"/>
  <c r="D110" i="24"/>
  <c r="E110" i="24" s="1"/>
  <c r="Z110" i="24" s="1"/>
  <c r="C110" i="24"/>
  <c r="B110" i="24"/>
  <c r="D109" i="24"/>
  <c r="E109" i="24" s="1"/>
  <c r="C109" i="24"/>
  <c r="B109" i="24"/>
  <c r="AH108" i="24"/>
  <c r="AF108" i="24"/>
  <c r="AD108" i="24"/>
  <c r="X108" i="24"/>
  <c r="V108" i="24"/>
  <c r="U108" i="24"/>
  <c r="T108" i="24"/>
  <c r="N108" i="24"/>
  <c r="L108" i="24"/>
  <c r="K108" i="24"/>
  <c r="J108" i="24"/>
  <c r="D108" i="24"/>
  <c r="E108" i="24" s="1"/>
  <c r="C108" i="24"/>
  <c r="B108" i="24"/>
  <c r="AL107" i="24"/>
  <c r="AK107" i="24"/>
  <c r="AE107" i="24"/>
  <c r="AC107" i="24"/>
  <c r="AB107" i="24"/>
  <c r="AA107" i="24"/>
  <c r="U107" i="24"/>
  <c r="S107" i="24"/>
  <c r="R107" i="24"/>
  <c r="Q107" i="24"/>
  <c r="K107" i="24"/>
  <c r="I107" i="24"/>
  <c r="H107" i="24"/>
  <c r="G107" i="24"/>
  <c r="E107" i="24"/>
  <c r="AJ107" i="24" s="1"/>
  <c r="D107" i="24"/>
  <c r="C107" i="24"/>
  <c r="B107" i="24"/>
  <c r="Z106" i="24"/>
  <c r="D106" i="24"/>
  <c r="E106" i="24" s="1"/>
  <c r="C106" i="24"/>
  <c r="B106" i="24"/>
  <c r="AL105" i="24"/>
  <c r="AK105" i="24"/>
  <c r="AJ105" i="24"/>
  <c r="AI105" i="24"/>
  <c r="AH105" i="24"/>
  <c r="AG105" i="24"/>
  <c r="AF105" i="24"/>
  <c r="AE105" i="24"/>
  <c r="AD105" i="24"/>
  <c r="AC105" i="24"/>
  <c r="AB105" i="24"/>
  <c r="AA105" i="24"/>
  <c r="Z105" i="24"/>
  <c r="Y105" i="24"/>
  <c r="X105" i="24"/>
  <c r="W105" i="24"/>
  <c r="V105" i="24"/>
  <c r="U105" i="24"/>
  <c r="T105" i="24"/>
  <c r="S105" i="24"/>
  <c r="R105" i="24"/>
  <c r="Q105" i="24"/>
  <c r="P105" i="24"/>
  <c r="O105" i="24"/>
  <c r="N105" i="24"/>
  <c r="M105" i="24"/>
  <c r="L105" i="24"/>
  <c r="K105" i="24"/>
  <c r="J105" i="24"/>
  <c r="I105" i="24"/>
  <c r="H105" i="24"/>
  <c r="G105" i="24"/>
  <c r="F105" i="24"/>
  <c r="D105" i="24"/>
  <c r="C105" i="24"/>
  <c r="B105" i="24"/>
  <c r="E101" i="24"/>
  <c r="E137" i="24" s="1"/>
  <c r="AE137" i="24" s="1"/>
  <c r="R100" i="24"/>
  <c r="E100" i="24"/>
  <c r="R99" i="24"/>
  <c r="E99" i="24"/>
  <c r="R98" i="24"/>
  <c r="E98" i="24"/>
  <c r="R97" i="24"/>
  <c r="E97" i="24"/>
  <c r="E92" i="24"/>
  <c r="E91" i="24"/>
  <c r="E88" i="24"/>
  <c r="E130" i="24" s="1"/>
  <c r="E87" i="24"/>
  <c r="E86" i="24"/>
  <c r="E85" i="24"/>
  <c r="E84" i="24"/>
  <c r="E83" i="24"/>
  <c r="E80" i="24"/>
  <c r="E79" i="24"/>
  <c r="E78" i="24"/>
  <c r="E117" i="24" s="1"/>
  <c r="U117" i="24" s="1"/>
  <c r="E77" i="24"/>
  <c r="E116" i="24" s="1"/>
  <c r="AI116" i="24" s="1"/>
  <c r="AI168" i="24" s="1"/>
  <c r="E76" i="24"/>
  <c r="E115" i="24" s="1"/>
  <c r="E75" i="24"/>
  <c r="E114" i="24" s="1"/>
  <c r="E74" i="24"/>
  <c r="E73" i="24"/>
  <c r="G192" i="22"/>
  <c r="AL190" i="22"/>
  <c r="AK190" i="22"/>
  <c r="AK192" i="22" s="1"/>
  <c r="AJ190" i="22"/>
  <c r="AI190" i="22"/>
  <c r="AH190" i="22"/>
  <c r="AG190" i="22"/>
  <c r="AF190" i="22"/>
  <c r="AE190" i="22"/>
  <c r="AD190" i="22"/>
  <c r="AC190" i="22"/>
  <c r="AB190" i="22"/>
  <c r="AA190" i="22"/>
  <c r="AA192" i="22" s="1"/>
  <c r="Z190" i="22"/>
  <c r="Y190" i="22"/>
  <c r="X190" i="22"/>
  <c r="W190" i="22"/>
  <c r="V190" i="22"/>
  <c r="U190" i="22"/>
  <c r="T190" i="22"/>
  <c r="S190" i="22"/>
  <c r="R190" i="22"/>
  <c r="Q190" i="22"/>
  <c r="Q192" i="22" s="1"/>
  <c r="P190" i="22"/>
  <c r="O190" i="22"/>
  <c r="N190" i="22"/>
  <c r="M190" i="22"/>
  <c r="L190" i="22"/>
  <c r="K190" i="22"/>
  <c r="J190" i="22"/>
  <c r="I190" i="22"/>
  <c r="H190" i="22"/>
  <c r="G190" i="22"/>
  <c r="F190" i="22"/>
  <c r="AL189" i="22"/>
  <c r="AK189" i="22"/>
  <c r="AJ189" i="22"/>
  <c r="AI189" i="22"/>
  <c r="AH189" i="22"/>
  <c r="AG189" i="22"/>
  <c r="AF189" i="22"/>
  <c r="AE189" i="22"/>
  <c r="AD189" i="22"/>
  <c r="AC189" i="22"/>
  <c r="AB189" i="22"/>
  <c r="AA189" i="22"/>
  <c r="Z189" i="22"/>
  <c r="Y189" i="22"/>
  <c r="X189" i="22"/>
  <c r="W189" i="22"/>
  <c r="V189" i="22"/>
  <c r="U189" i="22"/>
  <c r="T189" i="22"/>
  <c r="S189" i="22"/>
  <c r="R189" i="22"/>
  <c r="Q189" i="22"/>
  <c r="P189" i="22"/>
  <c r="O189" i="22"/>
  <c r="N189" i="22"/>
  <c r="M189" i="22"/>
  <c r="L189" i="22"/>
  <c r="K189" i="22"/>
  <c r="J189" i="22"/>
  <c r="I189" i="22"/>
  <c r="H189" i="22"/>
  <c r="G189" i="22"/>
  <c r="F189" i="22"/>
  <c r="AL188" i="22"/>
  <c r="AK188" i="22"/>
  <c r="AJ188" i="22"/>
  <c r="AI188" i="22"/>
  <c r="AH188" i="22"/>
  <c r="AG188" i="22"/>
  <c r="AF188" i="22"/>
  <c r="AE188" i="22"/>
  <c r="AD188" i="22"/>
  <c r="AC188" i="22"/>
  <c r="AB188" i="22"/>
  <c r="AA188" i="22"/>
  <c r="Z188" i="22"/>
  <c r="Y188" i="22"/>
  <c r="X188" i="22"/>
  <c r="W188" i="22"/>
  <c r="V188" i="22"/>
  <c r="U188" i="22"/>
  <c r="T188" i="22"/>
  <c r="S188" i="22"/>
  <c r="R188" i="22"/>
  <c r="Q188" i="22"/>
  <c r="P188" i="22"/>
  <c r="O188" i="22"/>
  <c r="N188" i="22"/>
  <c r="M188" i="22"/>
  <c r="L188" i="22"/>
  <c r="K188" i="22"/>
  <c r="J188" i="22"/>
  <c r="I188" i="22"/>
  <c r="H188" i="22"/>
  <c r="G188" i="22"/>
  <c r="F188" i="22"/>
  <c r="AL187" i="22"/>
  <c r="AK187" i="22"/>
  <c r="AJ187" i="22"/>
  <c r="AI187" i="22"/>
  <c r="AH187" i="22"/>
  <c r="AG187" i="22"/>
  <c r="AF187" i="22"/>
  <c r="AE187" i="22"/>
  <c r="AD187" i="22"/>
  <c r="AC187" i="22"/>
  <c r="AB187" i="22"/>
  <c r="AA187" i="22"/>
  <c r="Z187" i="22"/>
  <c r="Y187" i="22"/>
  <c r="X187" i="22"/>
  <c r="W187" i="22"/>
  <c r="V187" i="22"/>
  <c r="U187" i="22"/>
  <c r="T187" i="22"/>
  <c r="S187" i="22"/>
  <c r="R187" i="22"/>
  <c r="Q187" i="22"/>
  <c r="P187" i="22"/>
  <c r="O187" i="22"/>
  <c r="N187" i="22"/>
  <c r="M187" i="22"/>
  <c r="L187" i="22"/>
  <c r="K187" i="22"/>
  <c r="J187" i="22"/>
  <c r="I187" i="22"/>
  <c r="H187" i="22"/>
  <c r="G187" i="22"/>
  <c r="F187" i="22"/>
  <c r="AL186" i="22"/>
  <c r="AK186" i="22"/>
  <c r="AJ186" i="22"/>
  <c r="AI186" i="22"/>
  <c r="AH186" i="22"/>
  <c r="AG186" i="22"/>
  <c r="AF186" i="22"/>
  <c r="AE186" i="22"/>
  <c r="AD186" i="22"/>
  <c r="AC186" i="22"/>
  <c r="AB186" i="22"/>
  <c r="AA186" i="22"/>
  <c r="Z186" i="22"/>
  <c r="Y186" i="22"/>
  <c r="X186" i="22"/>
  <c r="W186" i="22"/>
  <c r="V186" i="22"/>
  <c r="U186" i="22"/>
  <c r="T186" i="22"/>
  <c r="S186" i="22"/>
  <c r="R186" i="22"/>
  <c r="Q186" i="22"/>
  <c r="P186" i="22"/>
  <c r="O186" i="22"/>
  <c r="N186" i="22"/>
  <c r="M186" i="22"/>
  <c r="L186" i="22"/>
  <c r="K186" i="22"/>
  <c r="J186" i="22"/>
  <c r="I186" i="22"/>
  <c r="H186" i="22"/>
  <c r="G186" i="22"/>
  <c r="F186" i="22"/>
  <c r="AL185" i="22"/>
  <c r="AK185" i="22"/>
  <c r="AJ185" i="22"/>
  <c r="AI185" i="22"/>
  <c r="AI192" i="22" s="1"/>
  <c r="AH185" i="22"/>
  <c r="AH192" i="22" s="1"/>
  <c r="AG185" i="22"/>
  <c r="AG192" i="22" s="1"/>
  <c r="AF185" i="22"/>
  <c r="AE185" i="22"/>
  <c r="AD185" i="22"/>
  <c r="AC185" i="22"/>
  <c r="AB185" i="22"/>
  <c r="AA185" i="22"/>
  <c r="Z185" i="22"/>
  <c r="Y185" i="22"/>
  <c r="Y192" i="22" s="1"/>
  <c r="X185" i="22"/>
  <c r="X192" i="22" s="1"/>
  <c r="W185" i="22"/>
  <c r="W192" i="22" s="1"/>
  <c r="V185" i="22"/>
  <c r="U185" i="22"/>
  <c r="T185" i="22"/>
  <c r="S185" i="22"/>
  <c r="R185" i="22"/>
  <c r="Q185" i="22"/>
  <c r="P185" i="22"/>
  <c r="O185" i="22"/>
  <c r="O192" i="22" s="1"/>
  <c r="N185" i="22"/>
  <c r="N192" i="22" s="1"/>
  <c r="M185" i="22"/>
  <c r="M192" i="22" s="1"/>
  <c r="L185" i="22"/>
  <c r="K185" i="22"/>
  <c r="J185" i="22"/>
  <c r="I185" i="22"/>
  <c r="H185" i="22"/>
  <c r="G185" i="22"/>
  <c r="F185" i="22"/>
  <c r="AC158" i="22"/>
  <c r="AB158" i="22"/>
  <c r="S158" i="22"/>
  <c r="R158" i="22"/>
  <c r="I158" i="22"/>
  <c r="H158" i="22"/>
  <c r="AG156" i="22"/>
  <c r="AF156" i="22"/>
  <c r="AE156" i="22"/>
  <c r="Y156" i="22"/>
  <c r="V156" i="22"/>
  <c r="J156" i="22"/>
  <c r="AL154" i="22"/>
  <c r="AL158" i="22" s="1"/>
  <c r="AK154" i="22"/>
  <c r="AJ154" i="22"/>
  <c r="AI154" i="22"/>
  <c r="AH154" i="22"/>
  <c r="AG154" i="22"/>
  <c r="AF154" i="22"/>
  <c r="AF158" i="22" s="1"/>
  <c r="AE154" i="22"/>
  <c r="AD154" i="22"/>
  <c r="AD158" i="22" s="1"/>
  <c r="AC154" i="22"/>
  <c r="AB154" i="22"/>
  <c r="AA154" i="22"/>
  <c r="Z154" i="22"/>
  <c r="Y154" i="22"/>
  <c r="X154" i="22"/>
  <c r="W154" i="22"/>
  <c r="V154" i="22"/>
  <c r="V158" i="22" s="1"/>
  <c r="U154" i="22"/>
  <c r="T154" i="22"/>
  <c r="S154" i="22"/>
  <c r="R154" i="22"/>
  <c r="Q154" i="22"/>
  <c r="P154" i="22"/>
  <c r="O154" i="22"/>
  <c r="N154" i="22"/>
  <c r="M154" i="22"/>
  <c r="L154" i="22"/>
  <c r="L158" i="22" s="1"/>
  <c r="K154" i="22"/>
  <c r="J154" i="22"/>
  <c r="J158" i="22" s="1"/>
  <c r="I154" i="22"/>
  <c r="H154" i="22"/>
  <c r="G154" i="22"/>
  <c r="F154" i="22"/>
  <c r="AL153" i="22"/>
  <c r="AK153" i="22"/>
  <c r="AK158" i="22" s="1"/>
  <c r="AJ153" i="22"/>
  <c r="AJ158" i="22" s="1"/>
  <c r="AI153" i="22"/>
  <c r="AI158" i="22" s="1"/>
  <c r="AH153" i="22"/>
  <c r="AH158" i="22" s="1"/>
  <c r="AG153" i="22"/>
  <c r="AG158" i="22" s="1"/>
  <c r="AF153" i="22"/>
  <c r="AE153" i="22"/>
  <c r="AD153" i="22"/>
  <c r="AC153" i="22"/>
  <c r="AB153" i="22"/>
  <c r="AA153" i="22"/>
  <c r="AA158" i="22" s="1"/>
  <c r="Z153" i="22"/>
  <c r="Z158" i="22" s="1"/>
  <c r="Y153" i="22"/>
  <c r="Y158" i="22" s="1"/>
  <c r="X153" i="22"/>
  <c r="X158" i="22" s="1"/>
  <c r="W153" i="22"/>
  <c r="W158" i="22" s="1"/>
  <c r="V153" i="22"/>
  <c r="U153" i="22"/>
  <c r="T153" i="22"/>
  <c r="T158" i="22" s="1"/>
  <c r="S153" i="22"/>
  <c r="R153" i="22"/>
  <c r="Q153" i="22"/>
  <c r="Q158" i="22" s="1"/>
  <c r="P153" i="22"/>
  <c r="P158" i="22" s="1"/>
  <c r="O153" i="22"/>
  <c r="O158" i="22" s="1"/>
  <c r="N153" i="22"/>
  <c r="N158" i="22" s="1"/>
  <c r="M153" i="22"/>
  <c r="M158" i="22" s="1"/>
  <c r="L153" i="22"/>
  <c r="K153" i="22"/>
  <c r="J153" i="22"/>
  <c r="I153" i="22"/>
  <c r="H153" i="22"/>
  <c r="G153" i="22"/>
  <c r="G158" i="22" s="1"/>
  <c r="F153" i="22"/>
  <c r="F158" i="22" s="1"/>
  <c r="AL152" i="22"/>
  <c r="AK152" i="22"/>
  <c r="AJ152" i="22"/>
  <c r="AI152" i="22"/>
  <c r="AH152" i="22"/>
  <c r="AG152" i="22"/>
  <c r="AF152" i="22"/>
  <c r="AE152" i="22"/>
  <c r="AD152" i="22"/>
  <c r="AC152" i="22"/>
  <c r="AB152" i="22"/>
  <c r="AA152" i="22"/>
  <c r="Z152" i="22"/>
  <c r="Y152" i="22"/>
  <c r="X152" i="22"/>
  <c r="W152" i="22"/>
  <c r="V152" i="22"/>
  <c r="U152" i="22"/>
  <c r="T152" i="22"/>
  <c r="S152" i="22"/>
  <c r="R152" i="22"/>
  <c r="Q152" i="22"/>
  <c r="P152" i="22"/>
  <c r="O152" i="22"/>
  <c r="N152" i="22"/>
  <c r="M152" i="22"/>
  <c r="L152" i="22"/>
  <c r="K152" i="22"/>
  <c r="J152" i="22"/>
  <c r="I152" i="22"/>
  <c r="H152" i="22"/>
  <c r="G152" i="22"/>
  <c r="F152" i="22"/>
  <c r="AL151" i="22"/>
  <c r="AK151" i="22"/>
  <c r="AJ151" i="22"/>
  <c r="AI151" i="22"/>
  <c r="AH151" i="22"/>
  <c r="AG151" i="22"/>
  <c r="AF151" i="22"/>
  <c r="AE151" i="22"/>
  <c r="AD151" i="22"/>
  <c r="AC151" i="22"/>
  <c r="AB151" i="22"/>
  <c r="AA151" i="22"/>
  <c r="Z151" i="22"/>
  <c r="Y151" i="22"/>
  <c r="X151" i="22"/>
  <c r="W151" i="22"/>
  <c r="V151" i="22"/>
  <c r="U151" i="22"/>
  <c r="T151" i="22"/>
  <c r="S151" i="22"/>
  <c r="R151" i="22"/>
  <c r="Q151" i="22"/>
  <c r="P151" i="22"/>
  <c r="O151" i="22"/>
  <c r="N151" i="22"/>
  <c r="M151" i="22"/>
  <c r="L151" i="22"/>
  <c r="K151" i="22"/>
  <c r="J151" i="22"/>
  <c r="I151" i="22"/>
  <c r="H151" i="22"/>
  <c r="G151" i="22"/>
  <c r="F151" i="22"/>
  <c r="AL150" i="22"/>
  <c r="AK150" i="22"/>
  <c r="AJ150" i="22"/>
  <c r="AI150" i="22"/>
  <c r="AH150" i="22"/>
  <c r="AG150" i="22"/>
  <c r="AF150" i="22"/>
  <c r="AE150" i="22"/>
  <c r="AD150" i="22"/>
  <c r="AC150" i="22"/>
  <c r="AB150" i="22"/>
  <c r="AA150" i="22"/>
  <c r="Z150" i="22"/>
  <c r="Y150" i="22"/>
  <c r="X150" i="22"/>
  <c r="W150" i="22"/>
  <c r="V150" i="22"/>
  <c r="U150" i="22"/>
  <c r="T150" i="22"/>
  <c r="S150" i="22"/>
  <c r="R150" i="22"/>
  <c r="Q150" i="22"/>
  <c r="P150" i="22"/>
  <c r="O150" i="22"/>
  <c r="N150" i="22"/>
  <c r="M150" i="22"/>
  <c r="L150" i="22"/>
  <c r="K150" i="22"/>
  <c r="J150" i="22"/>
  <c r="I150" i="22"/>
  <c r="H150" i="22"/>
  <c r="G150" i="22"/>
  <c r="F150" i="22"/>
  <c r="AL149" i="22"/>
  <c r="AK149" i="22"/>
  <c r="AJ149" i="22"/>
  <c r="AI149" i="22"/>
  <c r="AH149" i="22"/>
  <c r="AG149" i="22"/>
  <c r="AF149" i="22"/>
  <c r="AE149" i="22"/>
  <c r="AD149" i="22"/>
  <c r="AC149" i="22"/>
  <c r="AB149" i="22"/>
  <c r="AA149" i="22"/>
  <c r="Z149" i="22"/>
  <c r="Y149" i="22"/>
  <c r="X149" i="22"/>
  <c r="W149" i="22"/>
  <c r="V149" i="22"/>
  <c r="U149" i="22"/>
  <c r="T149" i="22"/>
  <c r="S149" i="22"/>
  <c r="R149" i="22"/>
  <c r="Q149" i="22"/>
  <c r="P149" i="22"/>
  <c r="O149" i="22"/>
  <c r="N149" i="22"/>
  <c r="M149" i="22"/>
  <c r="L149" i="22"/>
  <c r="K149" i="22"/>
  <c r="J149" i="22"/>
  <c r="I149" i="22"/>
  <c r="H149" i="22"/>
  <c r="G149" i="22"/>
  <c r="F149" i="22"/>
  <c r="AL148" i="22"/>
  <c r="AK148" i="22"/>
  <c r="AJ148" i="22"/>
  <c r="AI148" i="22"/>
  <c r="AH148" i="22"/>
  <c r="AG148" i="22"/>
  <c r="AF148" i="22"/>
  <c r="AE148" i="22"/>
  <c r="AD148" i="22"/>
  <c r="AD157" i="22" s="1"/>
  <c r="AC148" i="22"/>
  <c r="AB148" i="22"/>
  <c r="AA148" i="22"/>
  <c r="Z148" i="22"/>
  <c r="Y148" i="22"/>
  <c r="X148" i="22"/>
  <c r="W148" i="22"/>
  <c r="V148" i="22"/>
  <c r="U148" i="22"/>
  <c r="T148" i="22"/>
  <c r="T157" i="22" s="1"/>
  <c r="T160" i="22" s="1"/>
  <c r="S148" i="22"/>
  <c r="R148" i="22"/>
  <c r="Q148" i="22"/>
  <c r="P148" i="22"/>
  <c r="O148" i="22"/>
  <c r="N148" i="22"/>
  <c r="M148" i="22"/>
  <c r="L148" i="22"/>
  <c r="K148" i="22"/>
  <c r="J148" i="22"/>
  <c r="J157" i="22" s="1"/>
  <c r="I148" i="22"/>
  <c r="H148" i="22"/>
  <c r="G148" i="22"/>
  <c r="F148" i="22"/>
  <c r="AL147" i="22"/>
  <c r="AK147" i="22"/>
  <c r="AJ147" i="22"/>
  <c r="AI147" i="22"/>
  <c r="AH147" i="22"/>
  <c r="AG147" i="22"/>
  <c r="AF147" i="22"/>
  <c r="AE147" i="22"/>
  <c r="AD147" i="22"/>
  <c r="AC147" i="22"/>
  <c r="AB147" i="22"/>
  <c r="AA147" i="22"/>
  <c r="Z147" i="22"/>
  <c r="Y147" i="22"/>
  <c r="X147" i="22"/>
  <c r="W147" i="22"/>
  <c r="V147" i="22"/>
  <c r="U147" i="22"/>
  <c r="T147" i="22"/>
  <c r="S147" i="22"/>
  <c r="R147" i="22"/>
  <c r="Q147" i="22"/>
  <c r="P147" i="22"/>
  <c r="O147" i="22"/>
  <c r="N147" i="22"/>
  <c r="M147" i="22"/>
  <c r="L147" i="22"/>
  <c r="K147" i="22"/>
  <c r="J147" i="22"/>
  <c r="I147" i="22"/>
  <c r="H147" i="22"/>
  <c r="G147" i="22"/>
  <c r="F147" i="22"/>
  <c r="AL146" i="22"/>
  <c r="AK146" i="22"/>
  <c r="AJ146" i="22"/>
  <c r="AJ157" i="22" s="1"/>
  <c r="AI146" i="22"/>
  <c r="AH146" i="22"/>
  <c r="AG146" i="22"/>
  <c r="AF146" i="22"/>
  <c r="AE146" i="22"/>
  <c r="AD146" i="22"/>
  <c r="AC146" i="22"/>
  <c r="AB146" i="22"/>
  <c r="AA146" i="22"/>
  <c r="Z146" i="22"/>
  <c r="Z157" i="22" s="1"/>
  <c r="Y146" i="22"/>
  <c r="X146" i="22"/>
  <c r="W146" i="22"/>
  <c r="V146" i="22"/>
  <c r="U146" i="22"/>
  <c r="T146" i="22"/>
  <c r="S146" i="22"/>
  <c r="R146" i="22"/>
  <c r="Q146" i="22"/>
  <c r="P146" i="22"/>
  <c r="P157" i="22" s="1"/>
  <c r="O146" i="22"/>
  <c r="N146" i="22"/>
  <c r="M146" i="22"/>
  <c r="L146" i="22"/>
  <c r="K146" i="22"/>
  <c r="J146" i="22"/>
  <c r="I146" i="22"/>
  <c r="H146" i="22"/>
  <c r="G146" i="22"/>
  <c r="F146" i="22"/>
  <c r="F157" i="22" s="1"/>
  <c r="AL145" i="22"/>
  <c r="AL156" i="22" s="1"/>
  <c r="AK145" i="22"/>
  <c r="AK156" i="22" s="1"/>
  <c r="AJ145" i="22"/>
  <c r="AJ156" i="22" s="1"/>
  <c r="AI145" i="22"/>
  <c r="AI156" i="22" s="1"/>
  <c r="AH145" i="22"/>
  <c r="AH156" i="22" s="1"/>
  <c r="AG145" i="22"/>
  <c r="AF145" i="22"/>
  <c r="AE145" i="22"/>
  <c r="AD145" i="22"/>
  <c r="AD156" i="22" s="1"/>
  <c r="AC145" i="22"/>
  <c r="AC156" i="22" s="1"/>
  <c r="AB145" i="22"/>
  <c r="AB156" i="22" s="1"/>
  <c r="AA145" i="22"/>
  <c r="AA156" i="22" s="1"/>
  <c r="Z145" i="22"/>
  <c r="Z156" i="22" s="1"/>
  <c r="Y145" i="22"/>
  <c r="X145" i="22"/>
  <c r="X156" i="22" s="1"/>
  <c r="W145" i="22"/>
  <c r="W156" i="22" s="1"/>
  <c r="V145" i="22"/>
  <c r="U145" i="22"/>
  <c r="U156" i="22" s="1"/>
  <c r="T145" i="22"/>
  <c r="T156" i="22" s="1"/>
  <c r="S145" i="22"/>
  <c r="S156" i="22" s="1"/>
  <c r="R145" i="22"/>
  <c r="R156" i="22" s="1"/>
  <c r="Q145" i="22"/>
  <c r="Q156" i="22" s="1"/>
  <c r="P145" i="22"/>
  <c r="P156" i="22" s="1"/>
  <c r="O145" i="22"/>
  <c r="O156" i="22" s="1"/>
  <c r="N145" i="22"/>
  <c r="N156" i="22" s="1"/>
  <c r="M145" i="22"/>
  <c r="M156" i="22" s="1"/>
  <c r="L145" i="22"/>
  <c r="L156" i="22" s="1"/>
  <c r="K145" i="22"/>
  <c r="K156" i="22" s="1"/>
  <c r="J145" i="22"/>
  <c r="I145" i="22"/>
  <c r="I156" i="22" s="1"/>
  <c r="H145" i="22"/>
  <c r="H156" i="22" s="1"/>
  <c r="G145" i="22"/>
  <c r="G156" i="22" s="1"/>
  <c r="F145" i="22"/>
  <c r="F156" i="22" s="1"/>
  <c r="D139" i="22"/>
  <c r="C139" i="22"/>
  <c r="B139" i="22"/>
  <c r="D138" i="22"/>
  <c r="C138" i="22"/>
  <c r="B138" i="22"/>
  <c r="D137" i="22"/>
  <c r="C137" i="22"/>
  <c r="B137" i="22"/>
  <c r="D136" i="22"/>
  <c r="C136" i="22"/>
  <c r="B136" i="22"/>
  <c r="D135" i="22"/>
  <c r="C135" i="22"/>
  <c r="B135" i="22"/>
  <c r="D134" i="22"/>
  <c r="C134" i="22"/>
  <c r="B134" i="22"/>
  <c r="D133" i="22"/>
  <c r="C133" i="22"/>
  <c r="B133" i="22"/>
  <c r="D132" i="22"/>
  <c r="C132" i="22"/>
  <c r="B132" i="22"/>
  <c r="D131" i="22"/>
  <c r="C131" i="22"/>
  <c r="B131" i="22"/>
  <c r="D130" i="22"/>
  <c r="C130" i="22"/>
  <c r="B130" i="22"/>
  <c r="D129" i="22"/>
  <c r="C129" i="22"/>
  <c r="B129" i="22"/>
  <c r="D128" i="22"/>
  <c r="C128" i="22"/>
  <c r="B128" i="22"/>
  <c r="D127" i="22"/>
  <c r="C127" i="22"/>
  <c r="B127" i="22"/>
  <c r="D126" i="22"/>
  <c r="C126" i="22"/>
  <c r="B126" i="22"/>
  <c r="D125" i="22"/>
  <c r="C125" i="22"/>
  <c r="B125" i="22"/>
  <c r="D124" i="22"/>
  <c r="C124" i="22"/>
  <c r="B124" i="22"/>
  <c r="D123" i="22"/>
  <c r="C123" i="22"/>
  <c r="B123" i="22"/>
  <c r="D122" i="22"/>
  <c r="C122" i="22"/>
  <c r="B122" i="22"/>
  <c r="D121" i="22"/>
  <c r="C121" i="22"/>
  <c r="B121" i="22"/>
  <c r="D120" i="22"/>
  <c r="C120" i="22"/>
  <c r="B120" i="22"/>
  <c r="D119" i="22"/>
  <c r="E119" i="22" s="1"/>
  <c r="C119" i="22"/>
  <c r="B119" i="22"/>
  <c r="AK118" i="22"/>
  <c r="AJ118" i="22"/>
  <c r="AA118" i="22"/>
  <c r="Z118" i="22"/>
  <c r="U118" i="22"/>
  <c r="S118" i="22"/>
  <c r="J118" i="22"/>
  <c r="I118" i="22"/>
  <c r="D118" i="22"/>
  <c r="E118" i="22" s="1"/>
  <c r="C118" i="22"/>
  <c r="B118" i="22"/>
  <c r="AB117" i="22"/>
  <c r="Y117" i="22"/>
  <c r="X117" i="22"/>
  <c r="N117" i="22"/>
  <c r="M117" i="22"/>
  <c r="F117" i="22"/>
  <c r="E117" i="22"/>
  <c r="AE117" i="22" s="1"/>
  <c r="D117" i="22"/>
  <c r="C117" i="22"/>
  <c r="B117" i="22"/>
  <c r="D116" i="22"/>
  <c r="C116" i="22"/>
  <c r="B116" i="22"/>
  <c r="AL115" i="22"/>
  <c r="AL167" i="22" s="1"/>
  <c r="AK115" i="22"/>
  <c r="AK167" i="22" s="1"/>
  <c r="AE115" i="22"/>
  <c r="AE167" i="22" s="1"/>
  <c r="AC115" i="22"/>
  <c r="AC167" i="22" s="1"/>
  <c r="D115" i="22"/>
  <c r="C115" i="22"/>
  <c r="B115" i="22"/>
  <c r="D114" i="22"/>
  <c r="C114" i="22"/>
  <c r="B114" i="22"/>
  <c r="AG113" i="22"/>
  <c r="Y113" i="22"/>
  <c r="X113" i="22"/>
  <c r="U113" i="22"/>
  <c r="T113" i="22"/>
  <c r="L113" i="22"/>
  <c r="K113" i="22"/>
  <c r="D113" i="22"/>
  <c r="E113" i="22" s="1"/>
  <c r="AH113" i="22" s="1"/>
  <c r="C113" i="22"/>
  <c r="B113" i="22"/>
  <c r="AK112" i="22"/>
  <c r="AJ112" i="22"/>
  <c r="AI112" i="22"/>
  <c r="AF112" i="22"/>
  <c r="AC112" i="22"/>
  <c r="AB112" i="22"/>
  <c r="W112" i="22"/>
  <c r="V112" i="22"/>
  <c r="U112" i="22"/>
  <c r="Q112" i="22"/>
  <c r="P112" i="22"/>
  <c r="O112" i="22"/>
  <c r="J112" i="22"/>
  <c r="H112" i="22"/>
  <c r="G112" i="22"/>
  <c r="E112" i="22"/>
  <c r="D112" i="22"/>
  <c r="C112" i="22"/>
  <c r="B112" i="22"/>
  <c r="AD111" i="22"/>
  <c r="AA111" i="22"/>
  <c r="Z111" i="22"/>
  <c r="S111" i="22"/>
  <c r="R111" i="22"/>
  <c r="D111" i="22"/>
  <c r="E111" i="22" s="1"/>
  <c r="C111" i="22"/>
  <c r="B111" i="22"/>
  <c r="AF110" i="22"/>
  <c r="AE110" i="22"/>
  <c r="AA110" i="22"/>
  <c r="D110" i="22"/>
  <c r="E110" i="22" s="1"/>
  <c r="O110" i="22" s="1"/>
  <c r="C110" i="22"/>
  <c r="B110" i="22"/>
  <c r="AG109" i="22"/>
  <c r="AF109" i="22"/>
  <c r="AC109" i="22"/>
  <c r="AA109" i="22"/>
  <c r="U109" i="22"/>
  <c r="T109" i="22"/>
  <c r="P109" i="22"/>
  <c r="N109" i="22"/>
  <c r="I109" i="22"/>
  <c r="H109" i="22"/>
  <c r="D109" i="22"/>
  <c r="E109" i="22" s="1"/>
  <c r="C109" i="22"/>
  <c r="B109" i="22"/>
  <c r="AG108" i="22"/>
  <c r="AB108" i="22"/>
  <c r="AA108" i="22"/>
  <c r="U108" i="22"/>
  <c r="S108" i="22"/>
  <c r="P108" i="22"/>
  <c r="O108" i="22"/>
  <c r="H108" i="22"/>
  <c r="G108" i="22"/>
  <c r="D108" i="22"/>
  <c r="E108" i="22" s="1"/>
  <c r="C108" i="22"/>
  <c r="B108" i="22"/>
  <c r="D107" i="22"/>
  <c r="E107" i="22" s="1"/>
  <c r="C107" i="22"/>
  <c r="B107" i="22"/>
  <c r="V106" i="22"/>
  <c r="S106" i="22"/>
  <c r="Q106" i="22"/>
  <c r="K106" i="22"/>
  <c r="J106" i="22"/>
  <c r="E106" i="22"/>
  <c r="AH106" i="22" s="1"/>
  <c r="D106" i="22"/>
  <c r="C106" i="22"/>
  <c r="B106" i="22"/>
  <c r="AL105" i="22"/>
  <c r="AK105" i="22"/>
  <c r="AJ105" i="22"/>
  <c r="AI105" i="22"/>
  <c r="AH105" i="22"/>
  <c r="AG105" i="22"/>
  <c r="AF105" i="22"/>
  <c r="AE105" i="22"/>
  <c r="AD105" i="22"/>
  <c r="AC105" i="22"/>
  <c r="AB105" i="22"/>
  <c r="AA105" i="22"/>
  <c r="Z105" i="22"/>
  <c r="Y105" i="22"/>
  <c r="X105" i="22"/>
  <c r="W105" i="22"/>
  <c r="V105" i="22"/>
  <c r="U105" i="22"/>
  <c r="T105" i="22"/>
  <c r="S105" i="22"/>
  <c r="R105" i="22"/>
  <c r="Q105" i="22"/>
  <c r="P105" i="22"/>
  <c r="O105" i="22"/>
  <c r="N105" i="22"/>
  <c r="M105" i="22"/>
  <c r="L105" i="22"/>
  <c r="K105" i="22"/>
  <c r="J105" i="22"/>
  <c r="I105" i="22"/>
  <c r="H105" i="22"/>
  <c r="G105" i="22"/>
  <c r="F105" i="22"/>
  <c r="D105" i="22"/>
  <c r="C105" i="22"/>
  <c r="B105" i="22"/>
  <c r="R100" i="22"/>
  <c r="E100" i="22"/>
  <c r="R99" i="22"/>
  <c r="E99" i="22"/>
  <c r="R98" i="22"/>
  <c r="E98" i="22"/>
  <c r="R97" i="22"/>
  <c r="E97" i="22"/>
  <c r="E92" i="22"/>
  <c r="E91" i="22"/>
  <c r="E101" i="22" s="1"/>
  <c r="E87" i="22"/>
  <c r="E86" i="22"/>
  <c r="E85" i="22"/>
  <c r="E84" i="22"/>
  <c r="E83" i="22"/>
  <c r="E88" i="22" s="1"/>
  <c r="E80" i="22"/>
  <c r="E79" i="22"/>
  <c r="E78" i="22"/>
  <c r="E77" i="22"/>
  <c r="E116" i="22" s="1"/>
  <c r="E76" i="22"/>
  <c r="E115" i="22" s="1"/>
  <c r="Q115" i="22" s="1"/>
  <c r="Q167" i="22" s="1"/>
  <c r="E75" i="22"/>
  <c r="E74" i="22"/>
  <c r="E73" i="22"/>
  <c r="C270" i="23"/>
  <c r="C269" i="23"/>
  <c r="R245" i="23"/>
  <c r="Q245" i="23"/>
  <c r="P245" i="23"/>
  <c r="O245" i="23"/>
  <c r="N245" i="23"/>
  <c r="M245" i="23"/>
  <c r="R244" i="23"/>
  <c r="Q244" i="23"/>
  <c r="P244" i="23"/>
  <c r="O244" i="23"/>
  <c r="N244" i="23"/>
  <c r="F244" i="23"/>
  <c r="M244" i="23" s="1"/>
  <c r="R243" i="23"/>
  <c r="Q243" i="23"/>
  <c r="P243" i="23"/>
  <c r="O243" i="23"/>
  <c r="F243" i="23"/>
  <c r="N243" i="23" s="1"/>
  <c r="R242" i="23"/>
  <c r="Q242" i="23"/>
  <c r="P242" i="23"/>
  <c r="O242" i="23"/>
  <c r="N242" i="23"/>
  <c r="M242" i="23"/>
  <c r="R240" i="23"/>
  <c r="Q240" i="23"/>
  <c r="P240" i="23"/>
  <c r="O240" i="23"/>
  <c r="N240" i="23"/>
  <c r="F240" i="23"/>
  <c r="M240" i="23" s="1"/>
  <c r="R239" i="23"/>
  <c r="Q239" i="23"/>
  <c r="P239" i="23"/>
  <c r="O239" i="23"/>
  <c r="F239" i="23"/>
  <c r="N239" i="23" s="1"/>
  <c r="R238" i="23"/>
  <c r="Q238" i="23"/>
  <c r="P238" i="23"/>
  <c r="O238" i="23"/>
  <c r="N238" i="23"/>
  <c r="M238" i="23"/>
  <c r="R237" i="23"/>
  <c r="Q237" i="23"/>
  <c r="P237" i="23"/>
  <c r="O237" i="23"/>
  <c r="N237" i="23"/>
  <c r="M237" i="23"/>
  <c r="R232" i="23"/>
  <c r="Q232" i="23"/>
  <c r="P232" i="23"/>
  <c r="O232" i="23"/>
  <c r="N232" i="23"/>
  <c r="M232" i="23"/>
  <c r="R231" i="23"/>
  <c r="Q231" i="23"/>
  <c r="P231" i="23"/>
  <c r="O231" i="23"/>
  <c r="N231" i="23"/>
  <c r="M231" i="23"/>
  <c r="F231" i="23"/>
  <c r="R230" i="23"/>
  <c r="Q230" i="23"/>
  <c r="P230" i="23"/>
  <c r="O230" i="23"/>
  <c r="N230" i="23"/>
  <c r="M230" i="23"/>
  <c r="F230" i="23"/>
  <c r="R229" i="23"/>
  <c r="Q229" i="23"/>
  <c r="P229" i="23"/>
  <c r="O229" i="23"/>
  <c r="N229" i="23"/>
  <c r="M229" i="23"/>
  <c r="R228" i="23"/>
  <c r="R227" i="23"/>
  <c r="Q227" i="23"/>
  <c r="P227" i="23"/>
  <c r="O227" i="23"/>
  <c r="N227" i="23"/>
  <c r="M227" i="23"/>
  <c r="F227" i="23"/>
  <c r="R226" i="23"/>
  <c r="Q226" i="23"/>
  <c r="P226" i="23"/>
  <c r="O226" i="23"/>
  <c r="N226" i="23"/>
  <c r="M226" i="23"/>
  <c r="F226" i="23"/>
  <c r="R225" i="23"/>
  <c r="Q225" i="23"/>
  <c r="P225" i="23"/>
  <c r="O225" i="23"/>
  <c r="N225" i="23"/>
  <c r="M225" i="23"/>
  <c r="M228" i="23" s="1"/>
  <c r="R224" i="23"/>
  <c r="Q224" i="23"/>
  <c r="Q228" i="23" s="1"/>
  <c r="P224" i="23"/>
  <c r="P228" i="23" s="1"/>
  <c r="O224" i="23"/>
  <c r="O228" i="23" s="1"/>
  <c r="N224" i="23"/>
  <c r="N228" i="23" s="1"/>
  <c r="M224" i="23"/>
  <c r="L216" i="23"/>
  <c r="L213" i="23" s="1"/>
  <c r="L217" i="23" s="1"/>
  <c r="J216" i="23"/>
  <c r="I216" i="23"/>
  <c r="G216" i="23"/>
  <c r="F216" i="23"/>
  <c r="D216" i="23"/>
  <c r="L214" i="23"/>
  <c r="J214" i="23"/>
  <c r="J213" i="23" s="1"/>
  <c r="I214" i="23"/>
  <c r="G214" i="23"/>
  <c r="G213" i="23" s="1"/>
  <c r="G217" i="23" s="1"/>
  <c r="F214" i="23"/>
  <c r="F213" i="23" s="1"/>
  <c r="F217" i="23" s="1"/>
  <c r="D214" i="23"/>
  <c r="I213" i="23"/>
  <c r="I217" i="23" s="1"/>
  <c r="D213" i="23"/>
  <c r="L212" i="23"/>
  <c r="J212" i="23"/>
  <c r="J209" i="23" s="1"/>
  <c r="I212" i="23"/>
  <c r="I209" i="23" s="1"/>
  <c r="G212" i="23"/>
  <c r="F212" i="23"/>
  <c r="D212" i="23"/>
  <c r="L210" i="23"/>
  <c r="J210" i="23"/>
  <c r="I210" i="23"/>
  <c r="G210" i="23"/>
  <c r="G209" i="23" s="1"/>
  <c r="F210" i="23"/>
  <c r="D210" i="23"/>
  <c r="D209" i="23" s="1"/>
  <c r="D217" i="23" s="1"/>
  <c r="L209" i="23"/>
  <c r="F209" i="23"/>
  <c r="J203" i="23"/>
  <c r="I203" i="23"/>
  <c r="C203" i="23"/>
  <c r="L203" i="23" s="1"/>
  <c r="I202" i="23"/>
  <c r="G202" i="23"/>
  <c r="F202" i="23"/>
  <c r="D202" i="23"/>
  <c r="C202" i="23"/>
  <c r="L202" i="23" s="1"/>
  <c r="I201" i="23"/>
  <c r="I205" i="23" s="1"/>
  <c r="C201" i="23"/>
  <c r="G201" i="23" s="1"/>
  <c r="L200" i="23"/>
  <c r="J200" i="23"/>
  <c r="I200" i="23"/>
  <c r="G200" i="23"/>
  <c r="F200" i="23"/>
  <c r="D200" i="23"/>
  <c r="C200" i="23"/>
  <c r="C199" i="23"/>
  <c r="L199" i="23" s="1"/>
  <c r="C198" i="23"/>
  <c r="I198" i="23" s="1"/>
  <c r="I204" i="23" s="1"/>
  <c r="I192" i="23"/>
  <c r="C192" i="23"/>
  <c r="G192" i="23" s="1"/>
  <c r="L191" i="23"/>
  <c r="J191" i="23"/>
  <c r="I191" i="23"/>
  <c r="G191" i="23"/>
  <c r="F191" i="23"/>
  <c r="D191" i="23"/>
  <c r="C191" i="23"/>
  <c r="J190" i="23"/>
  <c r="I190" i="23"/>
  <c r="G190" i="23"/>
  <c r="F190" i="23"/>
  <c r="C190" i="23"/>
  <c r="L190" i="23" s="1"/>
  <c r="C189" i="23"/>
  <c r="I189" i="23" s="1"/>
  <c r="I194" i="23" s="1"/>
  <c r="L188" i="23"/>
  <c r="D188" i="23"/>
  <c r="C188" i="23"/>
  <c r="L187" i="23"/>
  <c r="L193" i="23" s="1"/>
  <c r="J187" i="23"/>
  <c r="I187" i="23"/>
  <c r="G187" i="23"/>
  <c r="C187" i="23"/>
  <c r="F187" i="23" s="1"/>
  <c r="L183" i="23"/>
  <c r="J183" i="23"/>
  <c r="I183" i="23"/>
  <c r="G183" i="23"/>
  <c r="F183" i="23"/>
  <c r="D183" i="23"/>
  <c r="L182" i="23"/>
  <c r="D182" i="23"/>
  <c r="L177" i="23"/>
  <c r="J177" i="23"/>
  <c r="J199" i="23" s="1"/>
  <c r="I177" i="23"/>
  <c r="I199" i="23" s="1"/>
  <c r="G177" i="23"/>
  <c r="G199" i="23" s="1"/>
  <c r="F177" i="23"/>
  <c r="F199" i="23" s="1"/>
  <c r="L176" i="23"/>
  <c r="J176" i="23"/>
  <c r="J182" i="23" s="1"/>
  <c r="I176" i="23"/>
  <c r="I182" i="23" s="1"/>
  <c r="G176" i="23"/>
  <c r="G182" i="23" s="1"/>
  <c r="F176" i="23"/>
  <c r="H151" i="23"/>
  <c r="G151" i="23"/>
  <c r="F151" i="23"/>
  <c r="E151" i="23"/>
  <c r="D151" i="23"/>
  <c r="C151" i="23"/>
  <c r="G148" i="23"/>
  <c r="F148" i="23"/>
  <c r="E148" i="23"/>
  <c r="D148" i="23"/>
  <c r="H144" i="23"/>
  <c r="H148" i="23" s="1"/>
  <c r="G138" i="23"/>
  <c r="F138" i="23"/>
  <c r="E138" i="23"/>
  <c r="D138" i="23"/>
  <c r="C138" i="23"/>
  <c r="H135" i="23"/>
  <c r="G135" i="23"/>
  <c r="F135" i="23"/>
  <c r="E135" i="23"/>
  <c r="D135" i="23"/>
  <c r="C135" i="23"/>
  <c r="H131" i="23"/>
  <c r="H138" i="23" s="1"/>
  <c r="F121" i="23"/>
  <c r="E121" i="23"/>
  <c r="E120" i="23"/>
  <c r="F120" i="23" s="1"/>
  <c r="E119" i="23"/>
  <c r="F119" i="23" s="1"/>
  <c r="F118" i="23"/>
  <c r="E118" i="23"/>
  <c r="E117" i="23"/>
  <c r="F117" i="23" s="1"/>
  <c r="F116" i="23"/>
  <c r="E116" i="23"/>
  <c r="H103" i="23"/>
  <c r="G103" i="23"/>
  <c r="F103" i="23"/>
  <c r="E103" i="23"/>
  <c r="D103" i="23"/>
  <c r="C103" i="23"/>
  <c r="C272" i="23"/>
  <c r="C271" i="23"/>
  <c r="I82" i="23"/>
  <c r="H82" i="23"/>
  <c r="G82" i="23"/>
  <c r="F82" i="23"/>
  <c r="E82" i="23"/>
  <c r="D82" i="23"/>
  <c r="E152" i="23"/>
  <c r="F132" i="7" l="1"/>
  <c r="F130" i="7"/>
  <c r="C276" i="23"/>
  <c r="C265" i="23" s="1"/>
  <c r="D136" i="23"/>
  <c r="G139" i="23"/>
  <c r="F152" i="23"/>
  <c r="G117" i="23"/>
  <c r="E136" i="23"/>
  <c r="H149" i="23"/>
  <c r="C259" i="23"/>
  <c r="F136" i="23"/>
  <c r="C149" i="23"/>
  <c r="G118" i="23"/>
  <c r="G136" i="23"/>
  <c r="G119" i="23"/>
  <c r="E149" i="23"/>
  <c r="G120" i="23"/>
  <c r="H136" i="23"/>
  <c r="G152" i="23"/>
  <c r="G157" i="23" s="1"/>
  <c r="C139" i="23"/>
  <c r="F149" i="23"/>
  <c r="H152" i="23"/>
  <c r="D139" i="23"/>
  <c r="C152" i="23"/>
  <c r="G121" i="23"/>
  <c r="E139" i="23"/>
  <c r="E157" i="23" s="1"/>
  <c r="D149" i="23"/>
  <c r="D156" i="23" s="1"/>
  <c r="H139" i="23"/>
  <c r="H157" i="23" s="1"/>
  <c r="F139" i="23"/>
  <c r="F157" i="23" s="1"/>
  <c r="G116" i="23"/>
  <c r="C136" i="23"/>
  <c r="C156" i="23" s="1"/>
  <c r="G149" i="23"/>
  <c r="G156" i="23" s="1"/>
  <c r="D152" i="23"/>
  <c r="AG130" i="24"/>
  <c r="W130" i="24"/>
  <c r="M130" i="24"/>
  <c r="AI130" i="24"/>
  <c r="X130" i="24"/>
  <c r="L130" i="24"/>
  <c r="AH130" i="24"/>
  <c r="V130" i="24"/>
  <c r="K130" i="24"/>
  <c r="AF130" i="24"/>
  <c r="U130" i="24"/>
  <c r="J130" i="24"/>
  <c r="AE130" i="24"/>
  <c r="T130" i="24"/>
  <c r="I130" i="24"/>
  <c r="AD130" i="24"/>
  <c r="S130" i="24"/>
  <c r="H130" i="24"/>
  <c r="AB130" i="24"/>
  <c r="Q130" i="24"/>
  <c r="F130" i="24"/>
  <c r="AC130" i="24"/>
  <c r="G130" i="24"/>
  <c r="AA130" i="24"/>
  <c r="AK130" i="24"/>
  <c r="Z130" i="24"/>
  <c r="Y130" i="24"/>
  <c r="R130" i="24"/>
  <c r="AL130" i="24"/>
  <c r="N130" i="24"/>
  <c r="P130" i="24"/>
  <c r="O130" i="24"/>
  <c r="AJ130" i="24"/>
  <c r="AF109" i="24"/>
  <c r="V109" i="24"/>
  <c r="L109" i="24"/>
  <c r="L165" i="24" s="1"/>
  <c r="AE109" i="24"/>
  <c r="U109" i="24"/>
  <c r="K109" i="24"/>
  <c r="AD109" i="24"/>
  <c r="AD165" i="24" s="1"/>
  <c r="T109" i="24"/>
  <c r="J109" i="24"/>
  <c r="J165" i="24" s="1"/>
  <c r="AC109" i="24"/>
  <c r="S109" i="24"/>
  <c r="I109" i="24"/>
  <c r="AL109" i="24"/>
  <c r="AL165" i="24" s="1"/>
  <c r="AB109" i="24"/>
  <c r="AB165" i="24" s="1"/>
  <c r="R109" i="24"/>
  <c r="H109" i="24"/>
  <c r="H165" i="24" s="1"/>
  <c r="AJ109" i="24"/>
  <c r="AJ165" i="24" s="1"/>
  <c r="Z109" i="24"/>
  <c r="Z165" i="24" s="1"/>
  <c r="P109" i="24"/>
  <c r="F109" i="24"/>
  <c r="F165" i="24" s="1"/>
  <c r="W109" i="24"/>
  <c r="Q109" i="24"/>
  <c r="O109" i="24"/>
  <c r="AK109" i="24"/>
  <c r="AK165" i="24" s="1"/>
  <c r="N109" i="24"/>
  <c r="AA109" i="24"/>
  <c r="AI109" i="24"/>
  <c r="AI165" i="24" s="1"/>
  <c r="M109" i="24"/>
  <c r="AH109" i="24"/>
  <c r="G109" i="24"/>
  <c r="G165" i="24" s="1"/>
  <c r="AG109" i="24"/>
  <c r="AH116" i="24"/>
  <c r="AH168" i="24" s="1"/>
  <c r="X109" i="24"/>
  <c r="X165" i="24" s="1"/>
  <c r="AK114" i="24"/>
  <c r="AA114" i="24"/>
  <c r="Q114" i="24"/>
  <c r="G114" i="24"/>
  <c r="AJ114" i="24"/>
  <c r="Z114" i="24"/>
  <c r="P114" i="24"/>
  <c r="F114" i="24"/>
  <c r="AI114" i="24"/>
  <c r="Y114" i="24"/>
  <c r="O114" i="24"/>
  <c r="AH114" i="24"/>
  <c r="X114" i="24"/>
  <c r="N114" i="24"/>
  <c r="AG114" i="24"/>
  <c r="W114" i="24"/>
  <c r="M114" i="24"/>
  <c r="AE114" i="24"/>
  <c r="U114" i="24"/>
  <c r="K114" i="24"/>
  <c r="AL114" i="24"/>
  <c r="J114" i="24"/>
  <c r="AF114" i="24"/>
  <c r="I114" i="24"/>
  <c r="AD114" i="24"/>
  <c r="H114" i="24"/>
  <c r="AC114" i="24"/>
  <c r="AB114" i="24"/>
  <c r="V114" i="24"/>
  <c r="T114" i="24"/>
  <c r="S114" i="24"/>
  <c r="Y109" i="24"/>
  <c r="E126" i="24"/>
  <c r="AD115" i="24"/>
  <c r="AD167" i="24" s="1"/>
  <c r="T115" i="24"/>
  <c r="T167" i="24" s="1"/>
  <c r="J115" i="24"/>
  <c r="J167" i="24" s="1"/>
  <c r="AC115" i="24"/>
  <c r="AC167" i="24" s="1"/>
  <c r="S115" i="24"/>
  <c r="S167" i="24" s="1"/>
  <c r="I115" i="24"/>
  <c r="I167" i="24" s="1"/>
  <c r="AL115" i="24"/>
  <c r="AL167" i="24" s="1"/>
  <c r="AB115" i="24"/>
  <c r="AB167" i="24" s="1"/>
  <c r="R115" i="24"/>
  <c r="R167" i="24" s="1"/>
  <c r="H115" i="24"/>
  <c r="H167" i="24" s="1"/>
  <c r="AK115" i="24"/>
  <c r="AK167" i="24" s="1"/>
  <c r="AA115" i="24"/>
  <c r="AA167" i="24" s="1"/>
  <c r="Q115" i="24"/>
  <c r="Q167" i="24" s="1"/>
  <c r="G115" i="24"/>
  <c r="G167" i="24" s="1"/>
  <c r="AJ115" i="24"/>
  <c r="AJ167" i="24" s="1"/>
  <c r="Z115" i="24"/>
  <c r="Z167" i="24" s="1"/>
  <c r="P115" i="24"/>
  <c r="P167" i="24" s="1"/>
  <c r="F115" i="24"/>
  <c r="F167" i="24" s="1"/>
  <c r="AH115" i="24"/>
  <c r="AH167" i="24" s="1"/>
  <c r="X115" i="24"/>
  <c r="X167" i="24" s="1"/>
  <c r="N115" i="24"/>
  <c r="N167" i="24" s="1"/>
  <c r="V115" i="24"/>
  <c r="V167" i="24" s="1"/>
  <c r="U115" i="24"/>
  <c r="U167" i="24" s="1"/>
  <c r="O115" i="24"/>
  <c r="O167" i="24" s="1"/>
  <c r="M115" i="24"/>
  <c r="M167" i="24" s="1"/>
  <c r="AE115" i="24"/>
  <c r="AE167" i="24" s="1"/>
  <c r="AI115" i="24"/>
  <c r="AI167" i="24" s="1"/>
  <c r="L115" i="24"/>
  <c r="L167" i="24" s="1"/>
  <c r="AG115" i="24"/>
  <c r="AG167" i="24" s="1"/>
  <c r="K115" i="24"/>
  <c r="K167" i="24" s="1"/>
  <c r="AF115" i="24"/>
  <c r="AF167" i="24" s="1"/>
  <c r="E129" i="24"/>
  <c r="E127" i="24"/>
  <c r="E124" i="24"/>
  <c r="E125" i="24"/>
  <c r="E135" i="24"/>
  <c r="E123" i="24"/>
  <c r="AG106" i="24"/>
  <c r="W106" i="24"/>
  <c r="M106" i="24"/>
  <c r="M164" i="24" s="1"/>
  <c r="M175" i="24" s="1"/>
  <c r="AF106" i="24"/>
  <c r="V106" i="24"/>
  <c r="L106" i="24"/>
  <c r="AE106" i="24"/>
  <c r="AE164" i="24" s="1"/>
  <c r="AE175" i="24" s="1"/>
  <c r="U106" i="24"/>
  <c r="U164" i="24" s="1"/>
  <c r="U175" i="24" s="1"/>
  <c r="K106" i="24"/>
  <c r="K164" i="24" s="1"/>
  <c r="K175" i="24" s="1"/>
  <c r="AD106" i="24"/>
  <c r="T106" i="24"/>
  <c r="J106" i="24"/>
  <c r="AC106" i="24"/>
  <c r="AC164" i="24" s="1"/>
  <c r="AC175" i="24" s="1"/>
  <c r="S106" i="24"/>
  <c r="S164" i="24" s="1"/>
  <c r="S175" i="24" s="1"/>
  <c r="I106" i="24"/>
  <c r="AK106" i="24"/>
  <c r="AK164" i="24" s="1"/>
  <c r="AK175" i="24" s="1"/>
  <c r="AA106" i="24"/>
  <c r="AA164" i="24" s="1"/>
  <c r="AA175" i="24" s="1"/>
  <c r="Q106" i="24"/>
  <c r="G106" i="24"/>
  <c r="X106" i="24"/>
  <c r="R106" i="24"/>
  <c r="P106" i="24"/>
  <c r="AH106" i="24"/>
  <c r="AL106" i="24"/>
  <c r="O106" i="24"/>
  <c r="AJ106" i="24"/>
  <c r="N106" i="24"/>
  <c r="N164" i="24" s="1"/>
  <c r="N175" i="24" s="1"/>
  <c r="F106" i="24"/>
  <c r="AI106" i="24"/>
  <c r="H106" i="24"/>
  <c r="AB106" i="24"/>
  <c r="W115" i="24"/>
  <c r="W167" i="24" s="1"/>
  <c r="E133" i="24"/>
  <c r="AK138" i="24"/>
  <c r="AA138" i="24"/>
  <c r="Q138" i="24"/>
  <c r="G138" i="24"/>
  <c r="AJ138" i="24"/>
  <c r="Y138" i="24"/>
  <c r="N138" i="24"/>
  <c r="AI138" i="24"/>
  <c r="X138" i="24"/>
  <c r="M138" i="24"/>
  <c r="AH138" i="24"/>
  <c r="W138" i="24"/>
  <c r="L138" i="24"/>
  <c r="AG138" i="24"/>
  <c r="V138" i="24"/>
  <c r="K138" i="24"/>
  <c r="AF138" i="24"/>
  <c r="U138" i="24"/>
  <c r="J138" i="24"/>
  <c r="AD138" i="24"/>
  <c r="S138" i="24"/>
  <c r="H138" i="24"/>
  <c r="AC138" i="24"/>
  <c r="R138" i="24"/>
  <c r="F138" i="24"/>
  <c r="AL138" i="24"/>
  <c r="AE138" i="24"/>
  <c r="AB138" i="24"/>
  <c r="Z138" i="24"/>
  <c r="T138" i="24"/>
  <c r="I138" i="24"/>
  <c r="I173" i="24" s="1"/>
  <c r="P138" i="24"/>
  <c r="O138" i="24"/>
  <c r="AG116" i="24"/>
  <c r="AG168" i="24" s="1"/>
  <c r="W116" i="24"/>
  <c r="W168" i="24" s="1"/>
  <c r="M116" i="24"/>
  <c r="M168" i="24" s="1"/>
  <c r="AF116" i="24"/>
  <c r="AF168" i="24" s="1"/>
  <c r="V116" i="24"/>
  <c r="V168" i="24" s="1"/>
  <c r="L116" i="24"/>
  <c r="L168" i="24" s="1"/>
  <c r="AE116" i="24"/>
  <c r="AE168" i="24" s="1"/>
  <c r="U116" i="24"/>
  <c r="U168" i="24" s="1"/>
  <c r="K116" i="24"/>
  <c r="K168" i="24" s="1"/>
  <c r="AD116" i="24"/>
  <c r="AD168" i="24" s="1"/>
  <c r="T116" i="24"/>
  <c r="T168" i="24" s="1"/>
  <c r="J116" i="24"/>
  <c r="J168" i="24" s="1"/>
  <c r="AC116" i="24"/>
  <c r="AC168" i="24" s="1"/>
  <c r="S116" i="24"/>
  <c r="S168" i="24" s="1"/>
  <c r="I116" i="24"/>
  <c r="I168" i="24" s="1"/>
  <c r="AK116" i="24"/>
  <c r="AK168" i="24" s="1"/>
  <c r="AA116" i="24"/>
  <c r="AA168" i="24" s="1"/>
  <c r="Q116" i="24"/>
  <c r="Q168" i="24" s="1"/>
  <c r="G116" i="24"/>
  <c r="G168" i="24" s="1"/>
  <c r="AB116" i="24"/>
  <c r="AB168" i="24" s="1"/>
  <c r="Z116" i="24"/>
  <c r="Z168" i="24" s="1"/>
  <c r="Y116" i="24"/>
  <c r="Y168" i="24" s="1"/>
  <c r="O116" i="24"/>
  <c r="O168" i="24" s="1"/>
  <c r="N116" i="24"/>
  <c r="N168" i="24" s="1"/>
  <c r="X116" i="24"/>
  <c r="X168" i="24" s="1"/>
  <c r="R116" i="24"/>
  <c r="R168" i="24" s="1"/>
  <c r="P116" i="24"/>
  <c r="P168" i="24" s="1"/>
  <c r="AL116" i="24"/>
  <c r="AL168" i="24" s="1"/>
  <c r="AJ116" i="24"/>
  <c r="AJ168" i="24" s="1"/>
  <c r="AE173" i="24"/>
  <c r="Y106" i="24"/>
  <c r="Y164" i="24" s="1"/>
  <c r="Y175" i="24" s="1"/>
  <c r="Y115" i="24"/>
  <c r="Y167" i="24" s="1"/>
  <c r="AI160" i="24"/>
  <c r="AG112" i="24"/>
  <c r="AG166" i="24" s="1"/>
  <c r="E121" i="24"/>
  <c r="L173" i="24"/>
  <c r="N160" i="24"/>
  <c r="AF112" i="24"/>
  <c r="F112" i="24"/>
  <c r="E118" i="24"/>
  <c r="T137" i="24"/>
  <c r="AD139" i="24"/>
  <c r="AD172" i="24" s="1"/>
  <c r="T139" i="24"/>
  <c r="T172" i="24" s="1"/>
  <c r="J139" i="24"/>
  <c r="J172" i="24" s="1"/>
  <c r="J177" i="24" s="1"/>
  <c r="AG139" i="24"/>
  <c r="AG172" i="24" s="1"/>
  <c r="V139" i="24"/>
  <c r="V172" i="24" s="1"/>
  <c r="K139" i="24"/>
  <c r="K172" i="24" s="1"/>
  <c r="AF139" i="24"/>
  <c r="AF172" i="24" s="1"/>
  <c r="U139" i="24"/>
  <c r="U172" i="24" s="1"/>
  <c r="U177" i="24" s="1"/>
  <c r="I139" i="24"/>
  <c r="I172" i="24" s="1"/>
  <c r="AE139" i="24"/>
  <c r="AE172" i="24" s="1"/>
  <c r="AE177" i="24" s="1"/>
  <c r="S139" i="24"/>
  <c r="S172" i="24" s="1"/>
  <c r="H139" i="24"/>
  <c r="H172" i="24" s="1"/>
  <c r="AC139" i="24"/>
  <c r="AC172" i="24" s="1"/>
  <c r="AC177" i="24" s="1"/>
  <c r="R139" i="24"/>
  <c r="R172" i="24" s="1"/>
  <c r="G139" i="24"/>
  <c r="G172" i="24" s="1"/>
  <c r="AB139" i="24"/>
  <c r="AB172" i="24" s="1"/>
  <c r="Q139" i="24"/>
  <c r="Q172" i="24" s="1"/>
  <c r="F139" i="24"/>
  <c r="F172" i="24" s="1"/>
  <c r="AK139" i="24"/>
  <c r="AK172" i="24" s="1"/>
  <c r="Z139" i="24"/>
  <c r="Z172" i="24" s="1"/>
  <c r="Z177" i="24" s="1"/>
  <c r="O139" i="24"/>
  <c r="O172" i="24" s="1"/>
  <c r="AJ139" i="24"/>
  <c r="AJ172" i="24" s="1"/>
  <c r="Y139" i="24"/>
  <c r="Y172" i="24" s="1"/>
  <c r="Y177" i="24" s="1"/>
  <c r="N139" i="24"/>
  <c r="N172" i="24" s="1"/>
  <c r="N177" i="24" s="1"/>
  <c r="W157" i="24"/>
  <c r="P110" i="24"/>
  <c r="AL110" i="24"/>
  <c r="L112" i="24"/>
  <c r="P113" i="24"/>
  <c r="Q119" i="24"/>
  <c r="Q170" i="24" s="1"/>
  <c r="W137" i="24"/>
  <c r="W173" i="24" s="1"/>
  <c r="L139" i="24"/>
  <c r="L172" i="24" s="1"/>
  <c r="AE112" i="24"/>
  <c r="U112" i="24"/>
  <c r="K112" i="24"/>
  <c r="K166" i="24" s="1"/>
  <c r="AD112" i="24"/>
  <c r="T112" i="24"/>
  <c r="T166" i="24" s="1"/>
  <c r="J112" i="24"/>
  <c r="J166" i="24" s="1"/>
  <c r="AC112" i="24"/>
  <c r="AC166" i="24" s="1"/>
  <c r="S112" i="24"/>
  <c r="S166" i="24" s="1"/>
  <c r="I112" i="24"/>
  <c r="AL112" i="24"/>
  <c r="AB112" i="24"/>
  <c r="R112" i="24"/>
  <c r="H112" i="24"/>
  <c r="AK112" i="24"/>
  <c r="AA112" i="24"/>
  <c r="Q112" i="24"/>
  <c r="G112" i="24"/>
  <c r="AI112" i="24"/>
  <c r="Y112" i="24"/>
  <c r="O112" i="24"/>
  <c r="S137" i="24"/>
  <c r="AJ117" i="24"/>
  <c r="Z117" i="24"/>
  <c r="P117" i="24"/>
  <c r="F117" i="24"/>
  <c r="AI117" i="24"/>
  <c r="Y117" i="24"/>
  <c r="O117" i="24"/>
  <c r="AH117" i="24"/>
  <c r="X117" i="24"/>
  <c r="N117" i="24"/>
  <c r="AG117" i="24"/>
  <c r="W117" i="24"/>
  <c r="M117" i="24"/>
  <c r="AF117" i="24"/>
  <c r="V117" i="24"/>
  <c r="L117" i="24"/>
  <c r="AD117" i="24"/>
  <c r="T117" i="24"/>
  <c r="J117" i="24"/>
  <c r="S117" i="24"/>
  <c r="Q110" i="24"/>
  <c r="M112" i="24"/>
  <c r="M166" i="24" s="1"/>
  <c r="AJ112" i="24"/>
  <c r="Q113" i="24"/>
  <c r="AA117" i="24"/>
  <c r="W119" i="24"/>
  <c r="W170" i="24" s="1"/>
  <c r="E120" i="24"/>
  <c r="E131" i="24"/>
  <c r="AD137" i="24"/>
  <c r="M139" i="24"/>
  <c r="M172" i="24" s="1"/>
  <c r="R160" i="24"/>
  <c r="R110" i="24"/>
  <c r="N112" i="24"/>
  <c r="S113" i="24"/>
  <c r="AB117" i="24"/>
  <c r="X119" i="24"/>
  <c r="X170" i="24" s="1"/>
  <c r="E136" i="24"/>
  <c r="P139" i="24"/>
  <c r="P172" i="24" s="1"/>
  <c r="P177" i="24" s="1"/>
  <c r="AH137" i="24"/>
  <c r="X137" i="24"/>
  <c r="N137" i="24"/>
  <c r="N173" i="24" s="1"/>
  <c r="AC137" i="24"/>
  <c r="AC173" i="24" s="1"/>
  <c r="R137" i="24"/>
  <c r="G137" i="24"/>
  <c r="AB137" i="24"/>
  <c r="AB173" i="24" s="1"/>
  <c r="Q137" i="24"/>
  <c r="Q173" i="24" s="1"/>
  <c r="F137" i="24"/>
  <c r="F173" i="24" s="1"/>
  <c r="AL137" i="24"/>
  <c r="AL173" i="24" s="1"/>
  <c r="AL177" i="24" s="1"/>
  <c r="AA137" i="24"/>
  <c r="AA173" i="24" s="1"/>
  <c r="P137" i="24"/>
  <c r="P173" i="24" s="1"/>
  <c r="AK137" i="24"/>
  <c r="Z137" i="24"/>
  <c r="Z173" i="24" s="1"/>
  <c r="O137" i="24"/>
  <c r="O173" i="24" s="1"/>
  <c r="AJ137" i="24"/>
  <c r="AJ173" i="24" s="1"/>
  <c r="Y137" i="24"/>
  <c r="Y173" i="24" s="1"/>
  <c r="M137" i="24"/>
  <c r="AG137" i="24"/>
  <c r="AG173" i="24" s="1"/>
  <c r="V137" i="24"/>
  <c r="V173" i="24" s="1"/>
  <c r="K137" i="24"/>
  <c r="K173" i="24" s="1"/>
  <c r="AF137" i="24"/>
  <c r="AF173" i="24" s="1"/>
  <c r="U137" i="24"/>
  <c r="U173" i="24" s="1"/>
  <c r="J137" i="24"/>
  <c r="J173" i="24" s="1"/>
  <c r="O160" i="24"/>
  <c r="AC108" i="24"/>
  <c r="S108" i="24"/>
  <c r="I108" i="24"/>
  <c r="AL108" i="24"/>
  <c r="AB108" i="24"/>
  <c r="R108" i="24"/>
  <c r="H108" i="24"/>
  <c r="AK108" i="24"/>
  <c r="AA108" i="24"/>
  <c r="Q108" i="24"/>
  <c r="G108" i="24"/>
  <c r="AJ108" i="24"/>
  <c r="Z108" i="24"/>
  <c r="P108" i="24"/>
  <c r="F108" i="24"/>
  <c r="AI108" i="24"/>
  <c r="Y108" i="24"/>
  <c r="O108" i="24"/>
  <c r="AG108" i="24"/>
  <c r="W108" i="24"/>
  <c r="M108" i="24"/>
  <c r="AE108" i="24"/>
  <c r="T110" i="24"/>
  <c r="AL111" i="24"/>
  <c r="AL166" i="24" s="1"/>
  <c r="AB111" i="24"/>
  <c r="R111" i="24"/>
  <c r="R166" i="24" s="1"/>
  <c r="H111" i="24"/>
  <c r="AK111" i="24"/>
  <c r="AA111" i="24"/>
  <c r="Q111" i="24"/>
  <c r="Q166" i="24" s="1"/>
  <c r="G111" i="24"/>
  <c r="AJ111" i="24"/>
  <c r="AJ166" i="24" s="1"/>
  <c r="Z111" i="24"/>
  <c r="Z166" i="24" s="1"/>
  <c r="P111" i="24"/>
  <c r="P166" i="24" s="1"/>
  <c r="F111" i="24"/>
  <c r="F166" i="24" s="1"/>
  <c r="AI111" i="24"/>
  <c r="AI166" i="24" s="1"/>
  <c r="Y111" i="24"/>
  <c r="O111" i="24"/>
  <c r="O166" i="24" s="1"/>
  <c r="AH111" i="24"/>
  <c r="X111" i="24"/>
  <c r="X166" i="24" s="1"/>
  <c r="N111" i="24"/>
  <c r="N166" i="24" s="1"/>
  <c r="AF111" i="24"/>
  <c r="V111" i="24"/>
  <c r="V166" i="24" s="1"/>
  <c r="L111" i="24"/>
  <c r="L166" i="24" s="1"/>
  <c r="AD111" i="24"/>
  <c r="P112" i="24"/>
  <c r="Y113" i="24"/>
  <c r="G117" i="24"/>
  <c r="AC117" i="24"/>
  <c r="Y119" i="24"/>
  <c r="Y170" i="24" s="1"/>
  <c r="AI137" i="24"/>
  <c r="AI173" i="24" s="1"/>
  <c r="AI177" i="24" s="1"/>
  <c r="W139" i="24"/>
  <c r="W172" i="24" s="1"/>
  <c r="Y160" i="24"/>
  <c r="I166" i="24"/>
  <c r="V112" i="24"/>
  <c r="H117" i="24"/>
  <c r="AE117" i="24"/>
  <c r="E122" i="24"/>
  <c r="E132" i="24"/>
  <c r="X139" i="24"/>
  <c r="X172" i="24" s="1"/>
  <c r="AE160" i="24"/>
  <c r="AF160" i="24"/>
  <c r="AI110" i="24"/>
  <c r="Y110" i="24"/>
  <c r="O110" i="24"/>
  <c r="AH110" i="24"/>
  <c r="X110" i="24"/>
  <c r="N110" i="24"/>
  <c r="AG110" i="24"/>
  <c r="W110" i="24"/>
  <c r="M110" i="24"/>
  <c r="AF110" i="24"/>
  <c r="V110" i="24"/>
  <c r="L110" i="24"/>
  <c r="AE110" i="24"/>
  <c r="U110" i="24"/>
  <c r="K110" i="24"/>
  <c r="AC110" i="24"/>
  <c r="S110" i="24"/>
  <c r="I110" i="24"/>
  <c r="AA110" i="24"/>
  <c r="W112" i="24"/>
  <c r="W166" i="24" s="1"/>
  <c r="AH113" i="24"/>
  <c r="X113" i="24"/>
  <c r="N113" i="24"/>
  <c r="AG113" i="24"/>
  <c r="W113" i="24"/>
  <c r="M113" i="24"/>
  <c r="AF113" i="24"/>
  <c r="V113" i="24"/>
  <c r="L113" i="24"/>
  <c r="AE113" i="24"/>
  <c r="AE166" i="24" s="1"/>
  <c r="U113" i="24"/>
  <c r="K113" i="24"/>
  <c r="AD113" i="24"/>
  <c r="T113" i="24"/>
  <c r="J113" i="24"/>
  <c r="AL113" i="24"/>
  <c r="AB113" i="24"/>
  <c r="R113" i="24"/>
  <c r="H113" i="24"/>
  <c r="AA113" i="24"/>
  <c r="I117" i="24"/>
  <c r="AK117" i="24"/>
  <c r="AF119" i="24"/>
  <c r="AF170" i="24" s="1"/>
  <c r="V119" i="24"/>
  <c r="V170" i="24" s="1"/>
  <c r="L119" i="24"/>
  <c r="L170" i="24" s="1"/>
  <c r="AE119" i="24"/>
  <c r="AE170" i="24" s="1"/>
  <c r="U119" i="24"/>
  <c r="U170" i="24" s="1"/>
  <c r="K119" i="24"/>
  <c r="K170" i="24" s="1"/>
  <c r="AD119" i="24"/>
  <c r="AD170" i="24" s="1"/>
  <c r="T119" i="24"/>
  <c r="T170" i="24" s="1"/>
  <c r="J119" i="24"/>
  <c r="J170" i="24" s="1"/>
  <c r="AC119" i="24"/>
  <c r="AC170" i="24" s="1"/>
  <c r="S119" i="24"/>
  <c r="S170" i="24" s="1"/>
  <c r="I119" i="24"/>
  <c r="I170" i="24" s="1"/>
  <c r="AL119" i="24"/>
  <c r="AL170" i="24" s="1"/>
  <c r="AB119" i="24"/>
  <c r="AB170" i="24" s="1"/>
  <c r="R119" i="24"/>
  <c r="R170" i="24" s="1"/>
  <c r="H119" i="24"/>
  <c r="H170" i="24" s="1"/>
  <c r="AJ119" i="24"/>
  <c r="AJ170" i="24" s="1"/>
  <c r="Z119" i="24"/>
  <c r="Z170" i="24" s="1"/>
  <c r="P119" i="24"/>
  <c r="P170" i="24" s="1"/>
  <c r="F119" i="24"/>
  <c r="F170" i="24" s="1"/>
  <c r="AG119" i="24"/>
  <c r="AG170" i="24" s="1"/>
  <c r="E128" i="24"/>
  <c r="H137" i="24"/>
  <c r="H173" i="24" s="1"/>
  <c r="AA139" i="24"/>
  <c r="AA172" i="24" s="1"/>
  <c r="AA177" i="24" s="1"/>
  <c r="L160" i="24"/>
  <c r="V160" i="24"/>
  <c r="I157" i="24"/>
  <c r="S157" i="24"/>
  <c r="AC157" i="24"/>
  <c r="J157" i="24"/>
  <c r="T157" i="24"/>
  <c r="T160" i="24" s="1"/>
  <c r="AD157" i="24"/>
  <c r="J107" i="24"/>
  <c r="T107" i="24"/>
  <c r="AD107" i="24"/>
  <c r="K157" i="24"/>
  <c r="K160" i="24" s="1"/>
  <c r="L107" i="24"/>
  <c r="V107" i="24"/>
  <c r="AF107" i="24"/>
  <c r="M157" i="24"/>
  <c r="M160" i="24" s="1"/>
  <c r="AG157" i="24"/>
  <c r="AG160" i="24" s="1"/>
  <c r="I192" i="24"/>
  <c r="S192" i="24"/>
  <c r="AC192" i="24"/>
  <c r="M107" i="24"/>
  <c r="W107" i="24"/>
  <c r="AG107" i="24"/>
  <c r="E134" i="24"/>
  <c r="Q160" i="24"/>
  <c r="AA160" i="24"/>
  <c r="N107" i="24"/>
  <c r="X107" i="24"/>
  <c r="AH107" i="24"/>
  <c r="H160" i="24"/>
  <c r="AB160" i="24"/>
  <c r="AL160" i="24"/>
  <c r="O157" i="24"/>
  <c r="Y157" i="24"/>
  <c r="AI157" i="24"/>
  <c r="O107" i="24"/>
  <c r="Y107" i="24"/>
  <c r="AI107" i="24"/>
  <c r="I160" i="24"/>
  <c r="S160" i="24"/>
  <c r="AC160" i="24"/>
  <c r="F157" i="24"/>
  <c r="F160" i="24" s="1"/>
  <c r="P157" i="24"/>
  <c r="P160" i="24" s="1"/>
  <c r="Z157" i="24"/>
  <c r="Z160" i="24" s="1"/>
  <c r="AJ157" i="24"/>
  <c r="AJ160" i="24" s="1"/>
  <c r="L192" i="24"/>
  <c r="AF192" i="24"/>
  <c r="F107" i="24"/>
  <c r="P107" i="24"/>
  <c r="Z107" i="24"/>
  <c r="J160" i="24"/>
  <c r="AD160" i="24"/>
  <c r="G157" i="24"/>
  <c r="G160" i="24" s="1"/>
  <c r="Q157" i="24"/>
  <c r="AA157" i="24"/>
  <c r="AK157" i="24"/>
  <c r="AK160" i="24" s="1"/>
  <c r="F158" i="24"/>
  <c r="AJ158" i="24"/>
  <c r="N157" i="24"/>
  <c r="X157" i="24"/>
  <c r="X160" i="24" s="1"/>
  <c r="AH157" i="24"/>
  <c r="AH160" i="24" s="1"/>
  <c r="M158" i="24"/>
  <c r="W158" i="24"/>
  <c r="W160" i="24" s="1"/>
  <c r="AG158" i="24"/>
  <c r="M192" i="24"/>
  <c r="W192" i="24"/>
  <c r="AG192" i="24"/>
  <c r="O158" i="24"/>
  <c r="Y158" i="24"/>
  <c r="AI158" i="24"/>
  <c r="O192" i="24"/>
  <c r="Y192" i="24"/>
  <c r="AI192" i="24"/>
  <c r="F192" i="24"/>
  <c r="P192" i="24"/>
  <c r="Z192" i="24"/>
  <c r="AJ192" i="24"/>
  <c r="G192" i="24"/>
  <c r="Q192" i="24"/>
  <c r="AA192" i="24"/>
  <c r="AK192" i="24"/>
  <c r="AC107" i="22"/>
  <c r="S107" i="22"/>
  <c r="S164" i="22" s="1"/>
  <c r="S175" i="22" s="1"/>
  <c r="I107" i="22"/>
  <c r="AJ107" i="22"/>
  <c r="Y107" i="22"/>
  <c r="N107" i="22"/>
  <c r="AA107" i="22"/>
  <c r="O107" i="22"/>
  <c r="K107" i="22"/>
  <c r="AL107" i="22"/>
  <c r="Z107" i="22"/>
  <c r="M107" i="22"/>
  <c r="AI107" i="22"/>
  <c r="AK107" i="22"/>
  <c r="X107" i="22"/>
  <c r="L107" i="22"/>
  <c r="W107" i="22"/>
  <c r="AF107" i="22"/>
  <c r="T107" i="22"/>
  <c r="G107" i="22"/>
  <c r="AE107" i="22"/>
  <c r="R107" i="22"/>
  <c r="F107" i="22"/>
  <c r="V107" i="22"/>
  <c r="AG107" i="22"/>
  <c r="AD107" i="22"/>
  <c r="U107" i="22"/>
  <c r="Q107" i="22"/>
  <c r="Q164" i="22" s="1"/>
  <c r="Q175" i="22" s="1"/>
  <c r="AH107" i="22"/>
  <c r="AB107" i="22"/>
  <c r="P107" i="22"/>
  <c r="J107" i="22"/>
  <c r="H107" i="22"/>
  <c r="E132" i="22"/>
  <c r="E122" i="22"/>
  <c r="E128" i="22"/>
  <c r="E121" i="22"/>
  <c r="AJ116" i="22"/>
  <c r="AJ168" i="22" s="1"/>
  <c r="Z116" i="22"/>
  <c r="Z168" i="22" s="1"/>
  <c r="P116" i="22"/>
  <c r="P168" i="22" s="1"/>
  <c r="F116" i="22"/>
  <c r="F168" i="22" s="1"/>
  <c r="AL116" i="22"/>
  <c r="AL168" i="22" s="1"/>
  <c r="AA116" i="22"/>
  <c r="AA168" i="22" s="1"/>
  <c r="O116" i="22"/>
  <c r="O168" i="22" s="1"/>
  <c r="AB116" i="22"/>
  <c r="AB168" i="22" s="1"/>
  <c r="N116" i="22"/>
  <c r="N168" i="22" s="1"/>
  <c r="AF116" i="22"/>
  <c r="AF168" i="22" s="1"/>
  <c r="T116" i="22"/>
  <c r="T168" i="22" s="1"/>
  <c r="H116" i="22"/>
  <c r="H168" i="22" s="1"/>
  <c r="Y116" i="22"/>
  <c r="Y168" i="22" s="1"/>
  <c r="K116" i="22"/>
  <c r="K168" i="22" s="1"/>
  <c r="X116" i="22"/>
  <c r="X168" i="22" s="1"/>
  <c r="J116" i="22"/>
  <c r="J168" i="22" s="1"/>
  <c r="V116" i="22"/>
  <c r="V168" i="22" s="1"/>
  <c r="W116" i="22"/>
  <c r="W168" i="22" s="1"/>
  <c r="I116" i="22"/>
  <c r="I168" i="22" s="1"/>
  <c r="AK116" i="22"/>
  <c r="AK168" i="22" s="1"/>
  <c r="G116" i="22"/>
  <c r="G168" i="22" s="1"/>
  <c r="AG116" i="22"/>
  <c r="AG168" i="22" s="1"/>
  <c r="R116" i="22"/>
  <c r="R168" i="22" s="1"/>
  <c r="AE116" i="22"/>
  <c r="AE168" i="22" s="1"/>
  <c r="Q116" i="22"/>
  <c r="Q168" i="22" s="1"/>
  <c r="M116" i="22"/>
  <c r="M168" i="22" s="1"/>
  <c r="L116" i="22"/>
  <c r="L168" i="22" s="1"/>
  <c r="S116" i="22"/>
  <c r="S168" i="22" s="1"/>
  <c r="AI116" i="22"/>
  <c r="AI168" i="22" s="1"/>
  <c r="AH116" i="22"/>
  <c r="AH168" i="22" s="1"/>
  <c r="U116" i="22"/>
  <c r="U168" i="22" s="1"/>
  <c r="AD116" i="22"/>
  <c r="AD168" i="22" s="1"/>
  <c r="AC116" i="22"/>
  <c r="AC168" i="22" s="1"/>
  <c r="E136" i="22"/>
  <c r="AI119" i="22"/>
  <c r="AI170" i="22" s="1"/>
  <c r="Y119" i="22"/>
  <c r="Y170" i="22" s="1"/>
  <c r="O119" i="22"/>
  <c r="O170" i="22" s="1"/>
  <c r="AG119" i="22"/>
  <c r="AG170" i="22" s="1"/>
  <c r="V119" i="22"/>
  <c r="V170" i="22" s="1"/>
  <c r="AA119" i="22"/>
  <c r="AA170" i="22" s="1"/>
  <c r="N119" i="22"/>
  <c r="N170" i="22" s="1"/>
  <c r="AL119" i="22"/>
  <c r="AL170" i="22" s="1"/>
  <c r="Z119" i="22"/>
  <c r="Z170" i="22" s="1"/>
  <c r="M119" i="22"/>
  <c r="M170" i="22" s="1"/>
  <c r="AK119" i="22"/>
  <c r="AK170" i="22" s="1"/>
  <c r="U119" i="22"/>
  <c r="U170" i="22" s="1"/>
  <c r="H119" i="22"/>
  <c r="H170" i="22" s="1"/>
  <c r="AC119" i="22"/>
  <c r="AC170" i="22" s="1"/>
  <c r="L119" i="22"/>
  <c r="L170" i="22" s="1"/>
  <c r="AE119" i="22"/>
  <c r="AE170" i="22" s="1"/>
  <c r="K119" i="22"/>
  <c r="K170" i="22" s="1"/>
  <c r="AD119" i="22"/>
  <c r="AD170" i="22" s="1"/>
  <c r="J119" i="22"/>
  <c r="J170" i="22" s="1"/>
  <c r="X119" i="22"/>
  <c r="X170" i="22" s="1"/>
  <c r="G119" i="22"/>
  <c r="G170" i="22" s="1"/>
  <c r="AB119" i="22"/>
  <c r="AB170" i="22" s="1"/>
  <c r="I119" i="22"/>
  <c r="I170" i="22" s="1"/>
  <c r="S119" i="22"/>
  <c r="S170" i="22" s="1"/>
  <c r="AJ119" i="22"/>
  <c r="AJ170" i="22" s="1"/>
  <c r="R119" i="22"/>
  <c r="R170" i="22" s="1"/>
  <c r="I165" i="22"/>
  <c r="F110" i="22"/>
  <c r="E127" i="22"/>
  <c r="V164" i="22"/>
  <c r="V175" i="22" s="1"/>
  <c r="U165" i="22"/>
  <c r="AE111" i="22"/>
  <c r="U111" i="22"/>
  <c r="K111" i="22"/>
  <c r="AJ111" i="22"/>
  <c r="AF111" i="22"/>
  <c r="T111" i="22"/>
  <c r="I111" i="22"/>
  <c r="AL111" i="22"/>
  <c r="Y111" i="22"/>
  <c r="M111" i="22"/>
  <c r="AK111" i="22"/>
  <c r="X111" i="22"/>
  <c r="L111" i="22"/>
  <c r="H111" i="22"/>
  <c r="AI111" i="22"/>
  <c r="W111" i="22"/>
  <c r="J111" i="22"/>
  <c r="AH111" i="22"/>
  <c r="V111" i="22"/>
  <c r="AC111" i="22"/>
  <c r="Q111" i="22"/>
  <c r="AB111" i="22"/>
  <c r="P111" i="22"/>
  <c r="AG111" i="22"/>
  <c r="K115" i="22"/>
  <c r="K167" i="22" s="1"/>
  <c r="W119" i="22"/>
  <c r="W170" i="22" s="1"/>
  <c r="U157" i="22"/>
  <c r="AE157" i="22"/>
  <c r="AE160" i="22" s="1"/>
  <c r="R157" i="22"/>
  <c r="AD106" i="22"/>
  <c r="AF108" i="22"/>
  <c r="V108" i="22"/>
  <c r="L108" i="22"/>
  <c r="AE108" i="22"/>
  <c r="T108" i="22"/>
  <c r="I108" i="22"/>
  <c r="AL108" i="22"/>
  <c r="Z108" i="22"/>
  <c r="N108" i="22"/>
  <c r="AK108" i="22"/>
  <c r="Y108" i="22"/>
  <c r="M108" i="22"/>
  <c r="AJ108" i="22"/>
  <c r="X108" i="22"/>
  <c r="K108" i="22"/>
  <c r="AI108" i="22"/>
  <c r="W108" i="22"/>
  <c r="J108" i="22"/>
  <c r="AD108" i="22"/>
  <c r="R108" i="22"/>
  <c r="F108" i="22"/>
  <c r="AC108" i="22"/>
  <c r="Q108" i="22"/>
  <c r="AH108" i="22"/>
  <c r="AA165" i="22"/>
  <c r="F111" i="22"/>
  <c r="O115" i="22"/>
  <c r="O167" i="22" s="1"/>
  <c r="AF119" i="22"/>
  <c r="AF170" i="22" s="1"/>
  <c r="E124" i="22"/>
  <c r="E120" i="22"/>
  <c r="AD160" i="22"/>
  <c r="AL110" i="22"/>
  <c r="AB110" i="22"/>
  <c r="R110" i="22"/>
  <c r="H110" i="22"/>
  <c r="H165" i="22" s="1"/>
  <c r="AI110" i="22"/>
  <c r="X110" i="22"/>
  <c r="M110" i="22"/>
  <c r="AK110" i="22"/>
  <c r="Y110" i="22"/>
  <c r="L110" i="22"/>
  <c r="AJ110" i="22"/>
  <c r="W110" i="22"/>
  <c r="K110" i="22"/>
  <c r="AH110" i="22"/>
  <c r="V110" i="22"/>
  <c r="J110" i="22"/>
  <c r="AG110" i="22"/>
  <c r="U110" i="22"/>
  <c r="I110" i="22"/>
  <c r="AD110" i="22"/>
  <c r="Q110" i="22"/>
  <c r="AC110" i="22"/>
  <c r="P110" i="22"/>
  <c r="P165" i="22" s="1"/>
  <c r="P119" i="22"/>
  <c r="P170" i="22" s="1"/>
  <c r="X169" i="22"/>
  <c r="Q119" i="22"/>
  <c r="Q170" i="22" s="1"/>
  <c r="G110" i="22"/>
  <c r="J115" i="22"/>
  <c r="J167" i="22" s="1"/>
  <c r="Y169" i="22"/>
  <c r="T119" i="22"/>
  <c r="T170" i="22" s="1"/>
  <c r="W106" i="22"/>
  <c r="N110" i="22"/>
  <c r="N165" i="22" s="1"/>
  <c r="E125" i="22"/>
  <c r="K157" i="22"/>
  <c r="AE106" i="22"/>
  <c r="S110" i="22"/>
  <c r="G111" i="22"/>
  <c r="AK113" i="22"/>
  <c r="AA113" i="22"/>
  <c r="Q113" i="22"/>
  <c r="G113" i="22"/>
  <c r="AB113" i="22"/>
  <c r="P113" i="22"/>
  <c r="AE113" i="22"/>
  <c r="S113" i="22"/>
  <c r="F113" i="22"/>
  <c r="AF113" i="22"/>
  <c r="R113" i="22"/>
  <c r="AD113" i="22"/>
  <c r="O113" i="22"/>
  <c r="AC113" i="22"/>
  <c r="N113" i="22"/>
  <c r="Z113" i="22"/>
  <c r="M113" i="22"/>
  <c r="AJ113" i="22"/>
  <c r="W113" i="22"/>
  <c r="J113" i="22"/>
  <c r="AI113" i="22"/>
  <c r="V113" i="22"/>
  <c r="I113" i="22"/>
  <c r="AL113" i="22"/>
  <c r="AH119" i="22"/>
  <c r="AH170" i="22" s="1"/>
  <c r="E123" i="22"/>
  <c r="J160" i="22"/>
  <c r="AG115" i="22"/>
  <c r="AG167" i="22" s="1"/>
  <c r="W115" i="22"/>
  <c r="W167" i="22" s="1"/>
  <c r="M115" i="22"/>
  <c r="M167" i="22" s="1"/>
  <c r="AD115" i="22"/>
  <c r="AD167" i="22" s="1"/>
  <c r="S115" i="22"/>
  <c r="S167" i="22" s="1"/>
  <c r="H115" i="22"/>
  <c r="H167" i="22" s="1"/>
  <c r="AB115" i="22"/>
  <c r="AB167" i="22" s="1"/>
  <c r="P115" i="22"/>
  <c r="P167" i="22" s="1"/>
  <c r="AJ115" i="22"/>
  <c r="AJ167" i="22" s="1"/>
  <c r="V115" i="22"/>
  <c r="V167" i="22" s="1"/>
  <c r="I115" i="22"/>
  <c r="I167" i="22" s="1"/>
  <c r="AI115" i="22"/>
  <c r="AI167" i="22" s="1"/>
  <c r="U115" i="22"/>
  <c r="U167" i="22" s="1"/>
  <c r="G115" i="22"/>
  <c r="G167" i="22" s="1"/>
  <c r="AF115" i="22"/>
  <c r="AF167" i="22" s="1"/>
  <c r="AH115" i="22"/>
  <c r="AH167" i="22" s="1"/>
  <c r="T115" i="22"/>
  <c r="T167" i="22" s="1"/>
  <c r="F115" i="22"/>
  <c r="F167" i="22" s="1"/>
  <c r="R115" i="22"/>
  <c r="R167" i="22" s="1"/>
  <c r="AA115" i="22"/>
  <c r="AA167" i="22" s="1"/>
  <c r="N115" i="22"/>
  <c r="N167" i="22" s="1"/>
  <c r="Z115" i="22"/>
  <c r="Z167" i="22" s="1"/>
  <c r="L115" i="22"/>
  <c r="L167" i="22" s="1"/>
  <c r="AF165" i="22"/>
  <c r="T110" i="22"/>
  <c r="T165" i="22" s="1"/>
  <c r="N111" i="22"/>
  <c r="H113" i="22"/>
  <c r="X115" i="22"/>
  <c r="X167" i="22" s="1"/>
  <c r="K164" i="22"/>
  <c r="K175" i="22" s="1"/>
  <c r="M169" i="22"/>
  <c r="F119" i="22"/>
  <c r="F170" i="22" s="1"/>
  <c r="AJ106" i="22"/>
  <c r="AJ164" i="22" s="1"/>
  <c r="AJ175" i="22" s="1"/>
  <c r="Z106" i="22"/>
  <c r="P106" i="22"/>
  <c r="P164" i="22" s="1"/>
  <c r="P175" i="22" s="1"/>
  <c r="F106" i="22"/>
  <c r="AC106" i="22"/>
  <c r="AC164" i="22" s="1"/>
  <c r="AC175" i="22" s="1"/>
  <c r="R106" i="22"/>
  <c r="R164" i="22" s="1"/>
  <c r="R175" i="22" s="1"/>
  <c r="G106" i="22"/>
  <c r="G164" i="22" s="1"/>
  <c r="G175" i="22" s="1"/>
  <c r="AB106" i="22"/>
  <c r="O106" i="22"/>
  <c r="AA106" i="22"/>
  <c r="AA164" i="22" s="1"/>
  <c r="AA175" i="22" s="1"/>
  <c r="N106" i="22"/>
  <c r="X106" i="22"/>
  <c r="AL106" i="22"/>
  <c r="Y106" i="22"/>
  <c r="M106" i="22"/>
  <c r="M164" i="22" s="1"/>
  <c r="M175" i="22" s="1"/>
  <c r="AK106" i="22"/>
  <c r="AK164" i="22" s="1"/>
  <c r="AK175" i="22" s="1"/>
  <c r="L106" i="22"/>
  <c r="L164" i="22" s="1"/>
  <c r="L175" i="22" s="1"/>
  <c r="AG106" i="22"/>
  <c r="AG164" i="22" s="1"/>
  <c r="AG175" i="22" s="1"/>
  <c r="U106" i="22"/>
  <c r="U164" i="22" s="1"/>
  <c r="U175" i="22" s="1"/>
  <c r="I106" i="22"/>
  <c r="AF106" i="22"/>
  <c r="T106" i="22"/>
  <c r="H106" i="22"/>
  <c r="H164" i="22" s="1"/>
  <c r="H175" i="22" s="1"/>
  <c r="AI106" i="22"/>
  <c r="AG165" i="22"/>
  <c r="Z110" i="22"/>
  <c r="O111" i="22"/>
  <c r="Y115" i="22"/>
  <c r="Y167" i="22" s="1"/>
  <c r="AC117" i="22"/>
  <c r="S117" i="22"/>
  <c r="S169" i="22" s="1"/>
  <c r="I117" i="22"/>
  <c r="I169" i="22" s="1"/>
  <c r="AH117" i="22"/>
  <c r="W117" i="22"/>
  <c r="L117" i="22"/>
  <c r="AG117" i="22"/>
  <c r="AG169" i="22" s="1"/>
  <c r="V117" i="22"/>
  <c r="V169" i="22" s="1"/>
  <c r="K117" i="22"/>
  <c r="K169" i="22" s="1"/>
  <c r="AD117" i="22"/>
  <c r="AD169" i="22" s="1"/>
  <c r="P117" i="22"/>
  <c r="AJ117" i="22"/>
  <c r="AJ169" i="22" s="1"/>
  <c r="U117" i="22"/>
  <c r="U169" i="22" s="1"/>
  <c r="G117" i="22"/>
  <c r="AL117" i="22"/>
  <c r="AL169" i="22" s="1"/>
  <c r="T117" i="22"/>
  <c r="AF117" i="22"/>
  <c r="AF169" i="22" s="1"/>
  <c r="AK117" i="22"/>
  <c r="AK169" i="22" s="1"/>
  <c r="R117" i="22"/>
  <c r="R169" i="22" s="1"/>
  <c r="O117" i="22"/>
  <c r="AI117" i="22"/>
  <c r="Q117" i="22"/>
  <c r="AA117" i="22"/>
  <c r="AA169" i="22" s="1"/>
  <c r="J117" i="22"/>
  <c r="J169" i="22" s="1"/>
  <c r="Z117" i="22"/>
  <c r="Z169" i="22" s="1"/>
  <c r="H117" i="22"/>
  <c r="E134" i="22"/>
  <c r="H160" i="22"/>
  <c r="R160" i="22"/>
  <c r="O157" i="22"/>
  <c r="Y157" i="22"/>
  <c r="AI157" i="22"/>
  <c r="V157" i="22"/>
  <c r="V160" i="22" s="1"/>
  <c r="AF157" i="22"/>
  <c r="AF160" i="22" s="1"/>
  <c r="I157" i="22"/>
  <c r="I160" i="22" s="1"/>
  <c r="S157" i="22"/>
  <c r="S160" i="22" s="1"/>
  <c r="AC157" i="22"/>
  <c r="AC160" i="22" s="1"/>
  <c r="O160" i="22"/>
  <c r="AI160" i="22"/>
  <c r="L157" i="22"/>
  <c r="L160" i="22" s="1"/>
  <c r="K192" i="22"/>
  <c r="U192" i="22"/>
  <c r="AE192" i="22"/>
  <c r="AI109" i="22"/>
  <c r="AI165" i="22" s="1"/>
  <c r="Y109" i="22"/>
  <c r="Y165" i="22" s="1"/>
  <c r="O109" i="22"/>
  <c r="O165" i="22" s="1"/>
  <c r="AB109" i="22"/>
  <c r="Q109" i="22"/>
  <c r="F109" i="22"/>
  <c r="F165" i="22" s="1"/>
  <c r="R109" i="22"/>
  <c r="AD109" i="22"/>
  <c r="AF118" i="22"/>
  <c r="V118" i="22"/>
  <c r="L118" i="22"/>
  <c r="AC118" i="22"/>
  <c r="R118" i="22"/>
  <c r="G118" i="22"/>
  <c r="AB118" i="22"/>
  <c r="AB169" i="22" s="1"/>
  <c r="Q118" i="22"/>
  <c r="F118" i="22"/>
  <c r="F169" i="22" s="1"/>
  <c r="AH118" i="22"/>
  <c r="T118" i="22"/>
  <c r="AL118" i="22"/>
  <c r="Y118" i="22"/>
  <c r="K118" i="22"/>
  <c r="W118" i="22"/>
  <c r="E138" i="22"/>
  <c r="G109" i="22"/>
  <c r="G165" i="22" s="1"/>
  <c r="S109" i="22"/>
  <c r="S165" i="22" s="1"/>
  <c r="AE109" i="22"/>
  <c r="AE165" i="22" s="1"/>
  <c r="AH112" i="22"/>
  <c r="X112" i="22"/>
  <c r="N112" i="22"/>
  <c r="AE112" i="22"/>
  <c r="T112" i="22"/>
  <c r="I112" i="22"/>
  <c r="AD112" i="22"/>
  <c r="R112" i="22"/>
  <c r="F112" i="22"/>
  <c r="S112" i="22"/>
  <c r="AG112" i="22"/>
  <c r="H118" i="22"/>
  <c r="X118" i="22"/>
  <c r="AK160" i="22"/>
  <c r="N157" i="22"/>
  <c r="N160" i="22" s="1"/>
  <c r="X157" i="22"/>
  <c r="X160" i="22" s="1"/>
  <c r="AH157" i="22"/>
  <c r="AH160" i="22" s="1"/>
  <c r="J109" i="22"/>
  <c r="J165" i="22" s="1"/>
  <c r="AH109" i="22"/>
  <c r="AD118" i="22"/>
  <c r="E126" i="22"/>
  <c r="E135" i="22"/>
  <c r="Q157" i="22"/>
  <c r="Q160" i="22" s="1"/>
  <c r="AA157" i="22"/>
  <c r="AA160" i="22" s="1"/>
  <c r="K109" i="22"/>
  <c r="W109" i="22"/>
  <c r="AJ109" i="22"/>
  <c r="K112" i="22"/>
  <c r="Y112" i="22"/>
  <c r="AL112" i="22"/>
  <c r="E114" i="22"/>
  <c r="N118" i="22"/>
  <c r="N169" i="22" s="1"/>
  <c r="AE118" i="22"/>
  <c r="AE169" i="22" s="1"/>
  <c r="K160" i="22"/>
  <c r="V109" i="22"/>
  <c r="V165" i="22" s="1"/>
  <c r="M118" i="22"/>
  <c r="G157" i="22"/>
  <c r="G160" i="22" s="1"/>
  <c r="L109" i="22"/>
  <c r="L165" i="22" s="1"/>
  <c r="X109" i="22"/>
  <c r="X165" i="22" s="1"/>
  <c r="AK109" i="22"/>
  <c r="AK165" i="22" s="1"/>
  <c r="L112" i="22"/>
  <c r="Z112" i="22"/>
  <c r="O118" i="22"/>
  <c r="AG118" i="22"/>
  <c r="E139" i="22"/>
  <c r="M109" i="22"/>
  <c r="M165" i="22" s="1"/>
  <c r="Z109" i="22"/>
  <c r="AL109" i="22"/>
  <c r="AL165" i="22" s="1"/>
  <c r="M112" i="22"/>
  <c r="AA112" i="22"/>
  <c r="P118" i="22"/>
  <c r="AI118" i="22"/>
  <c r="E131" i="22"/>
  <c r="E133" i="22"/>
  <c r="E137" i="22"/>
  <c r="F160" i="22"/>
  <c r="P160" i="22"/>
  <c r="Z160" i="22"/>
  <c r="AJ160" i="22"/>
  <c r="M157" i="22"/>
  <c r="W157" i="22"/>
  <c r="W160" i="22" s="1"/>
  <c r="AG157" i="22"/>
  <c r="AG160" i="22" s="1"/>
  <c r="L192" i="22"/>
  <c r="V192" i="22"/>
  <c r="AF192" i="22"/>
  <c r="F192" i="22"/>
  <c r="P192" i="22"/>
  <c r="Z192" i="22"/>
  <c r="AJ192" i="22"/>
  <c r="J192" i="22"/>
  <c r="T192" i="22"/>
  <c r="AD192" i="22"/>
  <c r="AK157" i="22"/>
  <c r="H157" i="22"/>
  <c r="AB157" i="22"/>
  <c r="AB160" i="22" s="1"/>
  <c r="AL157" i="22"/>
  <c r="AL160" i="22" s="1"/>
  <c r="E130" i="22"/>
  <c r="Y160" i="22"/>
  <c r="M160" i="22"/>
  <c r="E129" i="22"/>
  <c r="H192" i="22"/>
  <c r="R192" i="22"/>
  <c r="AB192" i="22"/>
  <c r="AL192" i="22"/>
  <c r="K158" i="22"/>
  <c r="U158" i="22"/>
  <c r="AE158" i="22"/>
  <c r="I192" i="22"/>
  <c r="S192" i="22"/>
  <c r="AC192" i="22"/>
  <c r="D205" i="23"/>
  <c r="L205" i="23"/>
  <c r="G205" i="23"/>
  <c r="J217" i="23"/>
  <c r="J189" i="23"/>
  <c r="J198" i="23"/>
  <c r="J204" i="23" s="1"/>
  <c r="L198" i="23"/>
  <c r="L204" i="23" s="1"/>
  <c r="J201" i="23"/>
  <c r="J205" i="23" s="1"/>
  <c r="D187" i="23"/>
  <c r="D193" i="23" s="1"/>
  <c r="I188" i="23"/>
  <c r="I193" i="23" s="1"/>
  <c r="L192" i="23"/>
  <c r="L201" i="23"/>
  <c r="F203" i="23"/>
  <c r="M239" i="23"/>
  <c r="M243" i="23"/>
  <c r="F182" i="23"/>
  <c r="F188" i="23"/>
  <c r="F193" i="23" s="1"/>
  <c r="C268" i="23"/>
  <c r="G188" i="23"/>
  <c r="G193" i="23" s="1"/>
  <c r="L189" i="23"/>
  <c r="L194" i="23" s="1"/>
  <c r="J192" i="23"/>
  <c r="D203" i="23"/>
  <c r="J188" i="23"/>
  <c r="J193" i="23" s="1"/>
  <c r="D190" i="23"/>
  <c r="D199" i="23"/>
  <c r="G203" i="23"/>
  <c r="G189" i="23"/>
  <c r="G194" i="23" s="1"/>
  <c r="F192" i="23"/>
  <c r="G198" i="23"/>
  <c r="G204" i="23" s="1"/>
  <c r="F201" i="23"/>
  <c r="J202" i="23"/>
  <c r="D189" i="23"/>
  <c r="D194" i="23" s="1"/>
  <c r="D198" i="23"/>
  <c r="D204" i="23" s="1"/>
  <c r="F189" i="23"/>
  <c r="D192" i="23"/>
  <c r="F198" i="23"/>
  <c r="F204" i="23" s="1"/>
  <c r="D201" i="23"/>
  <c r="F133" i="7" l="1"/>
  <c r="E156" i="23"/>
  <c r="F156" i="23"/>
  <c r="C279" i="23"/>
  <c r="H156" i="23"/>
  <c r="H158" i="23" s="1"/>
  <c r="D157" i="23"/>
  <c r="D158" i="23" s="1"/>
  <c r="F158" i="23"/>
  <c r="E158" i="23"/>
  <c r="G158" i="23"/>
  <c r="C157" i="23"/>
  <c r="C158" i="23" s="1"/>
  <c r="J199" i="24"/>
  <c r="W199" i="24"/>
  <c r="O200" i="24"/>
  <c r="K199" i="24"/>
  <c r="AA199" i="24"/>
  <c r="AK124" i="24"/>
  <c r="AA124" i="24"/>
  <c r="Q124" i="24"/>
  <c r="G124" i="24"/>
  <c r="AJ124" i="24"/>
  <c r="Z124" i="24"/>
  <c r="P124" i="24"/>
  <c r="F124" i="24"/>
  <c r="AI124" i="24"/>
  <c r="Y124" i="24"/>
  <c r="O124" i="24"/>
  <c r="AH124" i="24"/>
  <c r="X124" i="24"/>
  <c r="N124" i="24"/>
  <c r="AG124" i="24"/>
  <c r="W124" i="24"/>
  <c r="M124" i="24"/>
  <c r="AE124" i="24"/>
  <c r="U124" i="24"/>
  <c r="K124" i="24"/>
  <c r="T124" i="24"/>
  <c r="S124" i="24"/>
  <c r="R124" i="24"/>
  <c r="L124" i="24"/>
  <c r="AL124" i="24"/>
  <c r="J124" i="24"/>
  <c r="AC124" i="24"/>
  <c r="AF124" i="24"/>
  <c r="I124" i="24"/>
  <c r="AD124" i="24"/>
  <c r="H124" i="24"/>
  <c r="AB124" i="24"/>
  <c r="V124" i="24"/>
  <c r="AK128" i="24"/>
  <c r="AK198" i="24" s="1"/>
  <c r="AA128" i="24"/>
  <c r="AA198" i="24" s="1"/>
  <c r="Q128" i="24"/>
  <c r="Q198" i="24" s="1"/>
  <c r="G128" i="24"/>
  <c r="G198" i="24" s="1"/>
  <c r="AF128" i="24"/>
  <c r="AF198" i="24" s="1"/>
  <c r="U128" i="24"/>
  <c r="U198" i="24" s="1"/>
  <c r="J128" i="24"/>
  <c r="J198" i="24" s="1"/>
  <c r="AE128" i="24"/>
  <c r="AE198" i="24" s="1"/>
  <c r="T128" i="24"/>
  <c r="T198" i="24" s="1"/>
  <c r="I128" i="24"/>
  <c r="I198" i="24" s="1"/>
  <c r="AD128" i="24"/>
  <c r="AD198" i="24" s="1"/>
  <c r="S128" i="24"/>
  <c r="S198" i="24" s="1"/>
  <c r="H128" i="24"/>
  <c r="H198" i="24" s="1"/>
  <c r="AC128" i="24"/>
  <c r="AC198" i="24" s="1"/>
  <c r="R128" i="24"/>
  <c r="R198" i="24" s="1"/>
  <c r="F128" i="24"/>
  <c r="F198" i="24" s="1"/>
  <c r="AB128" i="24"/>
  <c r="AB198" i="24" s="1"/>
  <c r="P128" i="24"/>
  <c r="P198" i="24" s="1"/>
  <c r="AJ128" i="24"/>
  <c r="AJ198" i="24" s="1"/>
  <c r="Y128" i="24"/>
  <c r="Y198" i="24" s="1"/>
  <c r="N128" i="24"/>
  <c r="N198" i="24" s="1"/>
  <c r="AH128" i="24"/>
  <c r="AH198" i="24" s="1"/>
  <c r="AG128" i="24"/>
  <c r="AG198" i="24" s="1"/>
  <c r="Z128" i="24"/>
  <c r="Z198" i="24" s="1"/>
  <c r="X128" i="24"/>
  <c r="X198" i="24" s="1"/>
  <c r="W128" i="24"/>
  <c r="W198" i="24" s="1"/>
  <c r="M128" i="24"/>
  <c r="M198" i="24" s="1"/>
  <c r="AL128" i="24"/>
  <c r="AL198" i="24" s="1"/>
  <c r="V128" i="24"/>
  <c r="V198" i="24" s="1"/>
  <c r="O128" i="24"/>
  <c r="O198" i="24" s="1"/>
  <c r="L128" i="24"/>
  <c r="L198" i="24" s="1"/>
  <c r="AI128" i="24"/>
  <c r="AI198" i="24" s="1"/>
  <c r="K128" i="24"/>
  <c r="K198" i="24" s="1"/>
  <c r="M173" i="24"/>
  <c r="M177" i="24" s="1"/>
  <c r="AE136" i="24"/>
  <c r="AE201" i="24" s="1"/>
  <c r="U136" i="24"/>
  <c r="U201" i="24" s="1"/>
  <c r="K136" i="24"/>
  <c r="K201" i="24" s="1"/>
  <c r="AH136" i="24"/>
  <c r="AH201" i="24" s="1"/>
  <c r="W136" i="24"/>
  <c r="W201" i="24" s="1"/>
  <c r="L136" i="24"/>
  <c r="L201" i="24" s="1"/>
  <c r="AG136" i="24"/>
  <c r="AG201" i="24" s="1"/>
  <c r="V136" i="24"/>
  <c r="V201" i="24" s="1"/>
  <c r="J136" i="24"/>
  <c r="J201" i="24" s="1"/>
  <c r="AF136" i="24"/>
  <c r="AF201" i="24" s="1"/>
  <c r="T136" i="24"/>
  <c r="T201" i="24" s="1"/>
  <c r="I136" i="24"/>
  <c r="I201" i="24" s="1"/>
  <c r="AD136" i="24"/>
  <c r="AD201" i="24" s="1"/>
  <c r="S136" i="24"/>
  <c r="S201" i="24" s="1"/>
  <c r="H136" i="24"/>
  <c r="H201" i="24" s="1"/>
  <c r="AC136" i="24"/>
  <c r="AC201" i="24" s="1"/>
  <c r="R136" i="24"/>
  <c r="R201" i="24" s="1"/>
  <c r="G136" i="24"/>
  <c r="G201" i="24" s="1"/>
  <c r="AL136" i="24"/>
  <c r="AL201" i="24" s="1"/>
  <c r="AA136" i="24"/>
  <c r="AA201" i="24" s="1"/>
  <c r="P136" i="24"/>
  <c r="P201" i="24" s="1"/>
  <c r="AK136" i="24"/>
  <c r="AK201" i="24" s="1"/>
  <c r="Z136" i="24"/>
  <c r="Z201" i="24" s="1"/>
  <c r="O136" i="24"/>
  <c r="O201" i="24" s="1"/>
  <c r="N136" i="24"/>
  <c r="N201" i="24" s="1"/>
  <c r="M136" i="24"/>
  <c r="M201" i="24" s="1"/>
  <c r="F136" i="24"/>
  <c r="F201" i="24" s="1"/>
  <c r="AJ136" i="24"/>
  <c r="AJ201" i="24" s="1"/>
  <c r="Y136" i="24"/>
  <c r="Y201" i="24" s="1"/>
  <c r="X136" i="24"/>
  <c r="X201" i="24" s="1"/>
  <c r="AI136" i="24"/>
  <c r="AI201" i="24" s="1"/>
  <c r="AB136" i="24"/>
  <c r="AB201" i="24" s="1"/>
  <c r="Q136" i="24"/>
  <c r="Q201" i="24" s="1"/>
  <c r="AD173" i="24"/>
  <c r="AJ177" i="24"/>
  <c r="H177" i="24"/>
  <c r="T177" i="24"/>
  <c r="AJ164" i="24"/>
  <c r="AJ175" i="24" s="1"/>
  <c r="L164" i="24"/>
  <c r="L175" i="24" s="1"/>
  <c r="AJ127" i="24"/>
  <c r="Z127" i="24"/>
  <c r="P127" i="24"/>
  <c r="F127" i="24"/>
  <c r="AI127" i="24"/>
  <c r="Y127" i="24"/>
  <c r="O127" i="24"/>
  <c r="O197" i="24" s="1"/>
  <c r="AH127" i="24"/>
  <c r="X127" i="24"/>
  <c r="N127" i="24"/>
  <c r="AG127" i="24"/>
  <c r="W127" i="24"/>
  <c r="M127" i="24"/>
  <c r="AF127" i="24"/>
  <c r="V127" i="24"/>
  <c r="L127" i="24"/>
  <c r="AD127" i="24"/>
  <c r="T127" i="24"/>
  <c r="J127" i="24"/>
  <c r="S127" i="24"/>
  <c r="R127" i="24"/>
  <c r="Q127" i="24"/>
  <c r="AL127" i="24"/>
  <c r="K127" i="24"/>
  <c r="AK127" i="24"/>
  <c r="I127" i="24"/>
  <c r="AE127" i="24"/>
  <c r="H127" i="24"/>
  <c r="G127" i="24"/>
  <c r="AC127" i="24"/>
  <c r="AB127" i="24"/>
  <c r="AA127" i="24"/>
  <c r="U127" i="24"/>
  <c r="AA165" i="24"/>
  <c r="K165" i="24"/>
  <c r="AC196" i="24"/>
  <c r="AI134" i="24"/>
  <c r="Y134" i="24"/>
  <c r="O134" i="24"/>
  <c r="AD134" i="24"/>
  <c r="S134" i="24"/>
  <c r="H134" i="24"/>
  <c r="AC134" i="24"/>
  <c r="R134" i="24"/>
  <c r="G134" i="24"/>
  <c r="AB134" i="24"/>
  <c r="Q134" i="24"/>
  <c r="F134" i="24"/>
  <c r="AL134" i="24"/>
  <c r="AA134" i="24"/>
  <c r="P134" i="24"/>
  <c r="AK134" i="24"/>
  <c r="Z134" i="24"/>
  <c r="N134" i="24"/>
  <c r="AH134" i="24"/>
  <c r="W134" i="24"/>
  <c r="L134" i="24"/>
  <c r="AG134" i="24"/>
  <c r="V134" i="24"/>
  <c r="K134" i="24"/>
  <c r="AE134" i="24"/>
  <c r="AJ134" i="24"/>
  <c r="X134" i="24"/>
  <c r="U134" i="24"/>
  <c r="T134" i="24"/>
  <c r="M134" i="24"/>
  <c r="J134" i="24"/>
  <c r="I134" i="24"/>
  <c r="AF134" i="24"/>
  <c r="W177" i="24"/>
  <c r="AF166" i="24"/>
  <c r="AJ131" i="24"/>
  <c r="Z131" i="24"/>
  <c r="P131" i="24"/>
  <c r="F131" i="24"/>
  <c r="AE131" i="24"/>
  <c r="T131" i="24"/>
  <c r="I131" i="24"/>
  <c r="AD131" i="24"/>
  <c r="S131" i="24"/>
  <c r="H131" i="24"/>
  <c r="AC131" i="24"/>
  <c r="R131" i="24"/>
  <c r="G131" i="24"/>
  <c r="AB131" i="24"/>
  <c r="Q131" i="24"/>
  <c r="AL131" i="24"/>
  <c r="AA131" i="24"/>
  <c r="O131" i="24"/>
  <c r="AI131" i="24"/>
  <c r="X131" i="24"/>
  <c r="M131" i="24"/>
  <c r="AH131" i="24"/>
  <c r="W131" i="24"/>
  <c r="N131" i="24"/>
  <c r="L131" i="24"/>
  <c r="K131" i="24"/>
  <c r="J131" i="24"/>
  <c r="AK131" i="24"/>
  <c r="Y131" i="24"/>
  <c r="AG131" i="24"/>
  <c r="AF131" i="24"/>
  <c r="V131" i="24"/>
  <c r="U131" i="24"/>
  <c r="O177" i="24"/>
  <c r="AD177" i="24"/>
  <c r="AL121" i="24"/>
  <c r="AL197" i="24" s="1"/>
  <c r="AB121" i="24"/>
  <c r="AB197" i="24" s="1"/>
  <c r="R121" i="24"/>
  <c r="R197" i="24" s="1"/>
  <c r="H121" i="24"/>
  <c r="AK121" i="24"/>
  <c r="AA121" i="24"/>
  <c r="Q121" i="24"/>
  <c r="Q197" i="24" s="1"/>
  <c r="G121" i="24"/>
  <c r="AJ121" i="24"/>
  <c r="Z121" i="24"/>
  <c r="Z197" i="24" s="1"/>
  <c r="P121" i="24"/>
  <c r="P197" i="24" s="1"/>
  <c r="F121" i="24"/>
  <c r="F197" i="24" s="1"/>
  <c r="AI121" i="24"/>
  <c r="AI197" i="24" s="1"/>
  <c r="Y121" i="24"/>
  <c r="O121" i="24"/>
  <c r="AH121" i="24"/>
  <c r="X121" i="24"/>
  <c r="N121" i="24"/>
  <c r="AF121" i="24"/>
  <c r="V121" i="24"/>
  <c r="L121" i="24"/>
  <c r="L197" i="24" s="1"/>
  <c r="T121" i="24"/>
  <c r="S121" i="24"/>
  <c r="S197" i="24" s="1"/>
  <c r="M121" i="24"/>
  <c r="K121" i="24"/>
  <c r="AG121" i="24"/>
  <c r="AG197" i="24" s="1"/>
  <c r="J121" i="24"/>
  <c r="AE121" i="24"/>
  <c r="I121" i="24"/>
  <c r="AD121" i="24"/>
  <c r="AC121" i="24"/>
  <c r="W121" i="24"/>
  <c r="W197" i="24" s="1"/>
  <c r="U121" i="24"/>
  <c r="U197" i="24" s="1"/>
  <c r="O164" i="24"/>
  <c r="O175" i="24" s="1"/>
  <c r="I164" i="24"/>
  <c r="I175" i="24" s="1"/>
  <c r="V164" i="24"/>
  <c r="V175" i="24" s="1"/>
  <c r="AD129" i="24"/>
  <c r="AD199" i="24" s="1"/>
  <c r="T129" i="24"/>
  <c r="T199" i="24" s="1"/>
  <c r="J129" i="24"/>
  <c r="AB129" i="24"/>
  <c r="AB199" i="24" s="1"/>
  <c r="Q129" i="24"/>
  <c r="Q199" i="24" s="1"/>
  <c r="F129" i="24"/>
  <c r="F199" i="24" s="1"/>
  <c r="AL129" i="24"/>
  <c r="AL199" i="24" s="1"/>
  <c r="AA129" i="24"/>
  <c r="P129" i="24"/>
  <c r="P199" i="24" s="1"/>
  <c r="AK129" i="24"/>
  <c r="AK199" i="24" s="1"/>
  <c r="Z129" i="24"/>
  <c r="Z199" i="24" s="1"/>
  <c r="O129" i="24"/>
  <c r="O199" i="24" s="1"/>
  <c r="AJ129" i="24"/>
  <c r="AJ199" i="24" s="1"/>
  <c r="Y129" i="24"/>
  <c r="Y199" i="24" s="1"/>
  <c r="N129" i="24"/>
  <c r="N199" i="24" s="1"/>
  <c r="AI129" i="24"/>
  <c r="AI199" i="24" s="1"/>
  <c r="X129" i="24"/>
  <c r="X199" i="24" s="1"/>
  <c r="M129" i="24"/>
  <c r="M199" i="24" s="1"/>
  <c r="AG129" i="24"/>
  <c r="AG199" i="24" s="1"/>
  <c r="V129" i="24"/>
  <c r="V199" i="24" s="1"/>
  <c r="K129" i="24"/>
  <c r="R129" i="24"/>
  <c r="R199" i="24" s="1"/>
  <c r="L129" i="24"/>
  <c r="L199" i="24" s="1"/>
  <c r="I129" i="24"/>
  <c r="I199" i="24" s="1"/>
  <c r="U129" i="24"/>
  <c r="U199" i="24" s="1"/>
  <c r="AH129" i="24"/>
  <c r="AH199" i="24" s="1"/>
  <c r="H129" i="24"/>
  <c r="H199" i="24" s="1"/>
  <c r="AF129" i="24"/>
  <c r="AF199" i="24" s="1"/>
  <c r="G129" i="24"/>
  <c r="G199" i="24" s="1"/>
  <c r="W129" i="24"/>
  <c r="AE129" i="24"/>
  <c r="AE199" i="24" s="1"/>
  <c r="AC129" i="24"/>
  <c r="AC199" i="24" s="1"/>
  <c r="S129" i="24"/>
  <c r="S199" i="24" s="1"/>
  <c r="N165" i="24"/>
  <c r="R165" i="24"/>
  <c r="U165" i="24"/>
  <c r="AC132" i="24"/>
  <c r="S132" i="24"/>
  <c r="I132" i="24"/>
  <c r="AL132" i="24"/>
  <c r="AA132" i="24"/>
  <c r="P132" i="24"/>
  <c r="AK132" i="24"/>
  <c r="Z132" i="24"/>
  <c r="O132" i="24"/>
  <c r="AJ132" i="24"/>
  <c r="Y132" i="24"/>
  <c r="N132" i="24"/>
  <c r="AI132" i="24"/>
  <c r="X132" i="24"/>
  <c r="M132" i="24"/>
  <c r="AH132" i="24"/>
  <c r="W132" i="24"/>
  <c r="L132" i="24"/>
  <c r="AF132" i="24"/>
  <c r="U132" i="24"/>
  <c r="J132" i="24"/>
  <c r="AE132" i="24"/>
  <c r="T132" i="24"/>
  <c r="H132" i="24"/>
  <c r="F132" i="24"/>
  <c r="AG132" i="24"/>
  <c r="AD132" i="24"/>
  <c r="AB132" i="24"/>
  <c r="Q132" i="24"/>
  <c r="K132" i="24"/>
  <c r="V132" i="24"/>
  <c r="R132" i="24"/>
  <c r="G132" i="24"/>
  <c r="G166" i="24"/>
  <c r="G173" i="24"/>
  <c r="G177" i="24" s="1"/>
  <c r="AB169" i="24"/>
  <c r="AI120" i="24"/>
  <c r="Y120" i="24"/>
  <c r="Y196" i="24" s="1"/>
  <c r="O120" i="24"/>
  <c r="AH120" i="24"/>
  <c r="AH196" i="24" s="1"/>
  <c r="X120" i="24"/>
  <c r="N120" i="24"/>
  <c r="AG120" i="24"/>
  <c r="W120" i="24"/>
  <c r="M120" i="24"/>
  <c r="AF120" i="24"/>
  <c r="V120" i="24"/>
  <c r="V196" i="24" s="1"/>
  <c r="L120" i="24"/>
  <c r="AE120" i="24"/>
  <c r="U120" i="24"/>
  <c r="K120" i="24"/>
  <c r="AC120" i="24"/>
  <c r="S120" i="24"/>
  <c r="I120" i="24"/>
  <c r="AK120" i="24"/>
  <c r="AK196" i="24" s="1"/>
  <c r="J120" i="24"/>
  <c r="AJ120" i="24"/>
  <c r="H120" i="24"/>
  <c r="AD120" i="24"/>
  <c r="G120" i="24"/>
  <c r="AB120" i="24"/>
  <c r="F120" i="24"/>
  <c r="R120" i="24"/>
  <c r="AA120" i="24"/>
  <c r="Z120" i="24"/>
  <c r="Z196" i="24" s="1"/>
  <c r="T120" i="24"/>
  <c r="Q120" i="24"/>
  <c r="P120" i="24"/>
  <c r="AL120" i="24"/>
  <c r="W169" i="24"/>
  <c r="T173" i="24"/>
  <c r="AL164" i="24"/>
  <c r="AL175" i="24" s="1"/>
  <c r="AF164" i="24"/>
  <c r="AF175" i="24" s="1"/>
  <c r="AE165" i="24"/>
  <c r="AC118" i="24"/>
  <c r="AC200" i="24" s="1"/>
  <c r="S118" i="24"/>
  <c r="S169" i="24" s="1"/>
  <c r="I118" i="24"/>
  <c r="I200" i="24" s="1"/>
  <c r="AL118" i="24"/>
  <c r="AL169" i="24" s="1"/>
  <c r="AB118" i="24"/>
  <c r="R118" i="24"/>
  <c r="H118" i="24"/>
  <c r="AK118" i="24"/>
  <c r="AA118" i="24"/>
  <c r="Q118" i="24"/>
  <c r="G118" i="24"/>
  <c r="G200" i="24" s="1"/>
  <c r="AJ118" i="24"/>
  <c r="Z118" i="24"/>
  <c r="Z169" i="24" s="1"/>
  <c r="P118" i="24"/>
  <c r="P200" i="24" s="1"/>
  <c r="F118" i="24"/>
  <c r="F169" i="24" s="1"/>
  <c r="AI118" i="24"/>
  <c r="Y118" i="24"/>
  <c r="O118" i="24"/>
  <c r="AG118" i="24"/>
  <c r="AG169" i="24" s="1"/>
  <c r="W118" i="24"/>
  <c r="M118" i="24"/>
  <c r="M200" i="24" s="1"/>
  <c r="U118" i="24"/>
  <c r="T118" i="24"/>
  <c r="N118" i="24"/>
  <c r="N200" i="24" s="1"/>
  <c r="L118" i="24"/>
  <c r="AH118" i="24"/>
  <c r="AH200" i="24" s="1"/>
  <c r="K118" i="24"/>
  <c r="AD118" i="24"/>
  <c r="AF118" i="24"/>
  <c r="AF200" i="24" s="1"/>
  <c r="J118" i="24"/>
  <c r="AE118" i="24"/>
  <c r="AE200" i="24" s="1"/>
  <c r="X118" i="24"/>
  <c r="X169" i="24" s="1"/>
  <c r="V118" i="24"/>
  <c r="V200" i="24" s="1"/>
  <c r="AG126" i="24"/>
  <c r="W126" i="24"/>
  <c r="M126" i="24"/>
  <c r="AF126" i="24"/>
  <c r="V126" i="24"/>
  <c r="L126" i="24"/>
  <c r="AE126" i="24"/>
  <c r="U126" i="24"/>
  <c r="K126" i="24"/>
  <c r="AD126" i="24"/>
  <c r="T126" i="24"/>
  <c r="J126" i="24"/>
  <c r="AC126" i="24"/>
  <c r="S126" i="24"/>
  <c r="I126" i="24"/>
  <c r="AK126" i="24"/>
  <c r="AA126" i="24"/>
  <c r="Q126" i="24"/>
  <c r="G126" i="24"/>
  <c r="AL126" i="24"/>
  <c r="O126" i="24"/>
  <c r="AJ126" i="24"/>
  <c r="N126" i="24"/>
  <c r="AI126" i="24"/>
  <c r="H126" i="24"/>
  <c r="AH126" i="24"/>
  <c r="F126" i="24"/>
  <c r="AB126" i="24"/>
  <c r="X126" i="24"/>
  <c r="Z126" i="24"/>
  <c r="Y126" i="24"/>
  <c r="R126" i="24"/>
  <c r="P126" i="24"/>
  <c r="O165" i="24"/>
  <c r="AE169" i="24"/>
  <c r="AC169" i="24"/>
  <c r="AH166" i="24"/>
  <c r="AA166" i="24"/>
  <c r="AA169" i="24"/>
  <c r="S173" i="24"/>
  <c r="S177" i="24" s="1"/>
  <c r="F177" i="24"/>
  <c r="P164" i="24"/>
  <c r="P175" i="24" s="1"/>
  <c r="J164" i="24"/>
  <c r="J175" i="24" s="1"/>
  <c r="W164" i="24"/>
  <c r="W175" i="24" s="1"/>
  <c r="Y165" i="24"/>
  <c r="Q165" i="24"/>
  <c r="I165" i="24"/>
  <c r="V165" i="24"/>
  <c r="AI169" i="24"/>
  <c r="R173" i="24"/>
  <c r="AJ169" i="24"/>
  <c r="I177" i="24"/>
  <c r="AF133" i="24"/>
  <c r="V133" i="24"/>
  <c r="L133" i="24"/>
  <c r="AH133" i="24"/>
  <c r="W133" i="24"/>
  <c r="K133" i="24"/>
  <c r="AG133" i="24"/>
  <c r="U133" i="24"/>
  <c r="J133" i="24"/>
  <c r="AE133" i="24"/>
  <c r="T133" i="24"/>
  <c r="I133" i="24"/>
  <c r="AD133" i="24"/>
  <c r="S133" i="24"/>
  <c r="H133" i="24"/>
  <c r="AC133" i="24"/>
  <c r="R133" i="24"/>
  <c r="G133" i="24"/>
  <c r="AL133" i="24"/>
  <c r="AA133" i="24"/>
  <c r="P133" i="24"/>
  <c r="AK133" i="24"/>
  <c r="Z133" i="24"/>
  <c r="O133" i="24"/>
  <c r="AJ133" i="24"/>
  <c r="AI133" i="24"/>
  <c r="AB133" i="24"/>
  <c r="Y133" i="24"/>
  <c r="X133" i="24"/>
  <c r="M133" i="24"/>
  <c r="Q133" i="24"/>
  <c r="N133" i="24"/>
  <c r="F133" i="24"/>
  <c r="AH164" i="24"/>
  <c r="AH175" i="24" s="1"/>
  <c r="O196" i="24"/>
  <c r="P196" i="24"/>
  <c r="S196" i="24"/>
  <c r="G169" i="24"/>
  <c r="AK166" i="24"/>
  <c r="AK173" i="24"/>
  <c r="AK177" i="24" s="1"/>
  <c r="Q177" i="24"/>
  <c r="AF177" i="24"/>
  <c r="AB164" i="24"/>
  <c r="AB175" i="24" s="1"/>
  <c r="R164" i="24"/>
  <c r="R175" i="24" s="1"/>
  <c r="T164" i="24"/>
  <c r="T175" i="24" s="1"/>
  <c r="AG164" i="24"/>
  <c r="AG175" i="24" s="1"/>
  <c r="AG165" i="24"/>
  <c r="W165" i="24"/>
  <c r="S165" i="24"/>
  <c r="AF165" i="24"/>
  <c r="AE122" i="24"/>
  <c r="U122" i="24"/>
  <c r="K122" i="24"/>
  <c r="AD122" i="24"/>
  <c r="T122" i="24"/>
  <c r="J122" i="24"/>
  <c r="AC122" i="24"/>
  <c r="S122" i="24"/>
  <c r="I122" i="24"/>
  <c r="AL122" i="24"/>
  <c r="AB122" i="24"/>
  <c r="R122" i="24"/>
  <c r="H122" i="24"/>
  <c r="AK122" i="24"/>
  <c r="AA122" i="24"/>
  <c r="Q122" i="24"/>
  <c r="G122" i="24"/>
  <c r="AI122" i="24"/>
  <c r="Y122" i="24"/>
  <c r="O122" i="24"/>
  <c r="AG122" i="24"/>
  <c r="F122" i="24"/>
  <c r="AF122" i="24"/>
  <c r="Z122" i="24"/>
  <c r="X122" i="24"/>
  <c r="W122" i="24"/>
  <c r="N122" i="24"/>
  <c r="N197" i="24" s="1"/>
  <c r="V122" i="24"/>
  <c r="P122" i="24"/>
  <c r="AJ122" i="24"/>
  <c r="AH122" i="24"/>
  <c r="AH197" i="24" s="1"/>
  <c r="M122" i="24"/>
  <c r="L122" i="24"/>
  <c r="U166" i="24"/>
  <c r="L196" i="24"/>
  <c r="N196" i="24"/>
  <c r="Y166" i="24"/>
  <c r="H166" i="24"/>
  <c r="X173" i="24"/>
  <c r="X177" i="24" s="1"/>
  <c r="T169" i="24"/>
  <c r="AH169" i="24"/>
  <c r="AB177" i="24"/>
  <c r="K177" i="24"/>
  <c r="Z164" i="24"/>
  <c r="Z175" i="24" s="1"/>
  <c r="H164" i="24"/>
  <c r="H175" i="24" s="1"/>
  <c r="X164" i="24"/>
  <c r="X175" i="24" s="1"/>
  <c r="AD164" i="24"/>
  <c r="AD175" i="24" s="1"/>
  <c r="AH123" i="24"/>
  <c r="X123" i="24"/>
  <c r="N123" i="24"/>
  <c r="AG123" i="24"/>
  <c r="W123" i="24"/>
  <c r="M123" i="24"/>
  <c r="AF123" i="24"/>
  <c r="V123" i="24"/>
  <c r="L123" i="24"/>
  <c r="AE123" i="24"/>
  <c r="U123" i="24"/>
  <c r="K123" i="24"/>
  <c r="AD123" i="24"/>
  <c r="T123" i="24"/>
  <c r="J123" i="24"/>
  <c r="AL123" i="24"/>
  <c r="AB123" i="24"/>
  <c r="R123" i="24"/>
  <c r="H123" i="24"/>
  <c r="AK123" i="24"/>
  <c r="O123" i="24"/>
  <c r="AJ123" i="24"/>
  <c r="I123" i="24"/>
  <c r="AI123" i="24"/>
  <c r="G123" i="24"/>
  <c r="AC123" i="24"/>
  <c r="F123" i="24"/>
  <c r="AA123" i="24"/>
  <c r="S123" i="24"/>
  <c r="Z123" i="24"/>
  <c r="Y123" i="24"/>
  <c r="P123" i="24"/>
  <c r="Q123" i="24"/>
  <c r="AC165" i="24"/>
  <c r="X196" i="24"/>
  <c r="AI196" i="24"/>
  <c r="AJ196" i="24"/>
  <c r="AH173" i="24"/>
  <c r="AH177" i="24" s="1"/>
  <c r="AD169" i="24"/>
  <c r="O169" i="24"/>
  <c r="V177" i="24"/>
  <c r="AI164" i="24"/>
  <c r="AI175" i="24" s="1"/>
  <c r="G164" i="24"/>
  <c r="G175" i="24" s="1"/>
  <c r="AL135" i="24"/>
  <c r="AB135" i="24"/>
  <c r="R135" i="24"/>
  <c r="H135" i="24"/>
  <c r="AK135" i="24"/>
  <c r="Z135" i="24"/>
  <c r="O135" i="24"/>
  <c r="AJ135" i="24"/>
  <c r="Y135" i="24"/>
  <c r="N135" i="24"/>
  <c r="AI135" i="24"/>
  <c r="X135" i="24"/>
  <c r="M135" i="24"/>
  <c r="AH135" i="24"/>
  <c r="W135" i="24"/>
  <c r="L135" i="24"/>
  <c r="AG135" i="24"/>
  <c r="V135" i="24"/>
  <c r="K135" i="24"/>
  <c r="AE135" i="24"/>
  <c r="T135" i="24"/>
  <c r="I135" i="24"/>
  <c r="AD135" i="24"/>
  <c r="S135" i="24"/>
  <c r="G135" i="24"/>
  <c r="Q135" i="24"/>
  <c r="P135" i="24"/>
  <c r="AA135" i="24"/>
  <c r="J135" i="24"/>
  <c r="F135" i="24"/>
  <c r="AC135" i="24"/>
  <c r="AF135" i="24"/>
  <c r="U135" i="24"/>
  <c r="AH165" i="24"/>
  <c r="P165" i="24"/>
  <c r="AD196" i="24"/>
  <c r="AD166" i="24"/>
  <c r="AB166" i="24"/>
  <c r="L169" i="24"/>
  <c r="Y169" i="24"/>
  <c r="L177" i="24"/>
  <c r="R177" i="24"/>
  <c r="AG177" i="24"/>
  <c r="F164" i="24"/>
  <c r="F175" i="24" s="1"/>
  <c r="Q164" i="24"/>
  <c r="Q175" i="24" s="1"/>
  <c r="AD125" i="24"/>
  <c r="T125" i="24"/>
  <c r="J125" i="24"/>
  <c r="AC125" i="24"/>
  <c r="S125" i="24"/>
  <c r="I125" i="24"/>
  <c r="AL125" i="24"/>
  <c r="AB125" i="24"/>
  <c r="R125" i="24"/>
  <c r="H125" i="24"/>
  <c r="AK125" i="24"/>
  <c r="AA125" i="24"/>
  <c r="Q125" i="24"/>
  <c r="G125" i="24"/>
  <c r="AJ125" i="24"/>
  <c r="Z125" i="24"/>
  <c r="P125" i="24"/>
  <c r="F125" i="24"/>
  <c r="AH125" i="24"/>
  <c r="X125" i="24"/>
  <c r="N125" i="24"/>
  <c r="AF125" i="24"/>
  <c r="AE125" i="24"/>
  <c r="Y125" i="24"/>
  <c r="W125" i="24"/>
  <c r="V125" i="24"/>
  <c r="M125" i="24"/>
  <c r="U125" i="24"/>
  <c r="O125" i="24"/>
  <c r="K125" i="24"/>
  <c r="L125" i="24"/>
  <c r="AG125" i="24"/>
  <c r="AI125" i="24"/>
  <c r="M165" i="24"/>
  <c r="T165" i="24"/>
  <c r="AA166" i="22"/>
  <c r="L198" i="22"/>
  <c r="AD198" i="22"/>
  <c r="W196" i="22"/>
  <c r="I198" i="22"/>
  <c r="G166" i="22"/>
  <c r="U160" i="22"/>
  <c r="AF137" i="22"/>
  <c r="V137" i="22"/>
  <c r="L137" i="22"/>
  <c r="AC137" i="22"/>
  <c r="S137" i="22"/>
  <c r="I137" i="22"/>
  <c r="AK137" i="22"/>
  <c r="Y137" i="22"/>
  <c r="Y173" i="22" s="1"/>
  <c r="M137" i="22"/>
  <c r="AG137" i="22"/>
  <c r="AG173" i="22" s="1"/>
  <c r="R137" i="22"/>
  <c r="AE137" i="22"/>
  <c r="Q137" i="22"/>
  <c r="AD137" i="22"/>
  <c r="N137" i="22"/>
  <c r="AL137" i="22"/>
  <c r="U137" i="22"/>
  <c r="AJ137" i="22"/>
  <c r="AJ173" i="22" s="1"/>
  <c r="O137" i="22"/>
  <c r="O173" i="22" s="1"/>
  <c r="AI137" i="22"/>
  <c r="AI173" i="22" s="1"/>
  <c r="K137" i="22"/>
  <c r="AH137" i="22"/>
  <c r="J137" i="22"/>
  <c r="AB137" i="22"/>
  <c r="H137" i="22"/>
  <c r="X137" i="22"/>
  <c r="W137" i="22"/>
  <c r="T137" i="22"/>
  <c r="T173" i="22" s="1"/>
  <c r="P137" i="22"/>
  <c r="P173" i="22" s="1"/>
  <c r="AA137" i="22"/>
  <c r="AA173" i="22" s="1"/>
  <c r="G137" i="22"/>
  <c r="F137" i="22"/>
  <c r="Z137" i="22"/>
  <c r="Z165" i="22"/>
  <c r="AD114" i="22"/>
  <c r="T114" i="22"/>
  <c r="J114" i="22"/>
  <c r="J166" i="22" s="1"/>
  <c r="AI114" i="22"/>
  <c r="X114" i="22"/>
  <c r="X166" i="22" s="1"/>
  <c r="M114" i="22"/>
  <c r="AC114" i="22"/>
  <c r="AC200" i="22" s="1"/>
  <c r="Q114" i="22"/>
  <c r="AH114" i="22"/>
  <c r="U114" i="22"/>
  <c r="G114" i="22"/>
  <c r="G200" i="22" s="1"/>
  <c r="AG114" i="22"/>
  <c r="S114" i="22"/>
  <c r="S200" i="22" s="1"/>
  <c r="F114" i="22"/>
  <c r="F166" i="22" s="1"/>
  <c r="AE114" i="22"/>
  <c r="AF114" i="22"/>
  <c r="R114" i="22"/>
  <c r="R166" i="22" s="1"/>
  <c r="P114" i="22"/>
  <c r="Z114" i="22"/>
  <c r="Z200" i="22" s="1"/>
  <c r="L114" i="22"/>
  <c r="AL114" i="22"/>
  <c r="AL166" i="22" s="1"/>
  <c r="Y114" i="22"/>
  <c r="K114" i="22"/>
  <c r="K166" i="22" s="1"/>
  <c r="AJ114" i="22"/>
  <c r="I114" i="22"/>
  <c r="I200" i="22" s="1"/>
  <c r="AB114" i="22"/>
  <c r="AA114" i="22"/>
  <c r="O114" i="22"/>
  <c r="N114" i="22"/>
  <c r="W114" i="22"/>
  <c r="W200" i="22" s="1"/>
  <c r="V114" i="22"/>
  <c r="V200" i="22" s="1"/>
  <c r="H114" i="22"/>
  <c r="AK114" i="22"/>
  <c r="AK166" i="22" s="1"/>
  <c r="AJ126" i="22"/>
  <c r="Z126" i="22"/>
  <c r="P126" i="22"/>
  <c r="F126" i="22"/>
  <c r="AB126" i="22"/>
  <c r="Q126" i="22"/>
  <c r="AH126" i="22"/>
  <c r="V126" i="22"/>
  <c r="J126" i="22"/>
  <c r="AG126" i="22"/>
  <c r="U126" i="22"/>
  <c r="I126" i="22"/>
  <c r="AF126" i="22"/>
  <c r="R126" i="22"/>
  <c r="X126" i="22"/>
  <c r="H126" i="22"/>
  <c r="AD126" i="22"/>
  <c r="L126" i="22"/>
  <c r="AC126" i="22"/>
  <c r="K126" i="22"/>
  <c r="AA126" i="22"/>
  <c r="G126" i="22"/>
  <c r="Y126" i="22"/>
  <c r="AL126" i="22"/>
  <c r="S126" i="22"/>
  <c r="AK126" i="22"/>
  <c r="O126" i="22"/>
  <c r="AE126" i="22"/>
  <c r="W126" i="22"/>
  <c r="T126" i="22"/>
  <c r="AI126" i="22"/>
  <c r="N126" i="22"/>
  <c r="M126" i="22"/>
  <c r="H169" i="22"/>
  <c r="T169" i="22"/>
  <c r="L169" i="22"/>
  <c r="AI164" i="22"/>
  <c r="AI175" i="22" s="1"/>
  <c r="Y164" i="22"/>
  <c r="Y175" i="22" s="1"/>
  <c r="F164" i="22"/>
  <c r="F175" i="22" s="1"/>
  <c r="AD166" i="22"/>
  <c r="AC166" i="22"/>
  <c r="M166" i="22"/>
  <c r="AE121" i="22"/>
  <c r="U121" i="22"/>
  <c r="K121" i="22"/>
  <c r="K197" i="22" s="1"/>
  <c r="AK121" i="22"/>
  <c r="Z121" i="22"/>
  <c r="Z197" i="22" s="1"/>
  <c r="O121" i="22"/>
  <c r="AL121" i="22"/>
  <c r="AL197" i="22" s="1"/>
  <c r="Y121" i="22"/>
  <c r="M121" i="22"/>
  <c r="AJ121" i="22"/>
  <c r="X121" i="22"/>
  <c r="L121" i="22"/>
  <c r="AI121" i="22"/>
  <c r="T121" i="22"/>
  <c r="T197" i="22" s="1"/>
  <c r="F121" i="22"/>
  <c r="AB121" i="22"/>
  <c r="AB197" i="22" s="1"/>
  <c r="J121" i="22"/>
  <c r="AD121" i="22"/>
  <c r="I121" i="22"/>
  <c r="AC121" i="22"/>
  <c r="H121" i="22"/>
  <c r="AA121" i="22"/>
  <c r="G121" i="22"/>
  <c r="G197" i="22" s="1"/>
  <c r="W121" i="22"/>
  <c r="R121" i="22"/>
  <c r="AH121" i="22"/>
  <c r="AH197" i="22" s="1"/>
  <c r="Q121" i="22"/>
  <c r="S121" i="22"/>
  <c r="AF121" i="22"/>
  <c r="V121" i="22"/>
  <c r="P121" i="22"/>
  <c r="AG121" i="22"/>
  <c r="N121" i="22"/>
  <c r="P166" i="22"/>
  <c r="U166" i="22"/>
  <c r="AJ135" i="22"/>
  <c r="Z135" i="22"/>
  <c r="P135" i="22"/>
  <c r="F135" i="22"/>
  <c r="AG135" i="22"/>
  <c r="W135" i="22"/>
  <c r="M135" i="22"/>
  <c r="AL135" i="22"/>
  <c r="Y135" i="22"/>
  <c r="L135" i="22"/>
  <c r="X135" i="22"/>
  <c r="J135" i="22"/>
  <c r="AK135" i="22"/>
  <c r="V135" i="22"/>
  <c r="I135" i="22"/>
  <c r="U135" i="22"/>
  <c r="AD135" i="22"/>
  <c r="N135" i="22"/>
  <c r="AF135" i="22"/>
  <c r="K135" i="22"/>
  <c r="AE135" i="22"/>
  <c r="H135" i="22"/>
  <c r="AC135" i="22"/>
  <c r="G135" i="22"/>
  <c r="AB135" i="22"/>
  <c r="S135" i="22"/>
  <c r="R135" i="22"/>
  <c r="O135" i="22"/>
  <c r="Q135" i="22"/>
  <c r="AI135" i="22"/>
  <c r="T135" i="22"/>
  <c r="AH135" i="22"/>
  <c r="AA135" i="22"/>
  <c r="AG134" i="22"/>
  <c r="W134" i="22"/>
  <c r="M134" i="22"/>
  <c r="AD134" i="22"/>
  <c r="T134" i="22"/>
  <c r="J134" i="22"/>
  <c r="AL134" i="22"/>
  <c r="Z134" i="22"/>
  <c r="N134" i="22"/>
  <c r="AI134" i="22"/>
  <c r="U134" i="22"/>
  <c r="G134" i="22"/>
  <c r="AH134" i="22"/>
  <c r="S134" i="22"/>
  <c r="F134" i="22"/>
  <c r="AA134" i="22"/>
  <c r="I134" i="22"/>
  <c r="AF134" i="22"/>
  <c r="P134" i="22"/>
  <c r="AB134" i="22"/>
  <c r="Y134" i="22"/>
  <c r="V134" i="22"/>
  <c r="X134" i="22"/>
  <c r="AK134" i="22"/>
  <c r="O134" i="22"/>
  <c r="AJ134" i="22"/>
  <c r="L134" i="22"/>
  <c r="K134" i="22"/>
  <c r="Q134" i="22"/>
  <c r="AC134" i="22"/>
  <c r="AE134" i="22"/>
  <c r="R134" i="22"/>
  <c r="H134" i="22"/>
  <c r="AH164" i="22"/>
  <c r="AH175" i="22" s="1"/>
  <c r="AD133" i="22"/>
  <c r="T133" i="22"/>
  <c r="J133" i="22"/>
  <c r="AK133" i="22"/>
  <c r="AA133" i="22"/>
  <c r="Q133" i="22"/>
  <c r="G133" i="22"/>
  <c r="Z133" i="22"/>
  <c r="N133" i="22"/>
  <c r="AG133" i="22"/>
  <c r="S133" i="22"/>
  <c r="AF133" i="22"/>
  <c r="R133" i="22"/>
  <c r="AE133" i="22"/>
  <c r="M133" i="22"/>
  <c r="AL133" i="22"/>
  <c r="V133" i="22"/>
  <c r="X133" i="22"/>
  <c r="W133" i="22"/>
  <c r="U133" i="22"/>
  <c r="P133" i="22"/>
  <c r="AH133" i="22"/>
  <c r="AH200" i="22" s="1"/>
  <c r="K133" i="22"/>
  <c r="AC133" i="22"/>
  <c r="I133" i="22"/>
  <c r="F133" i="22"/>
  <c r="O133" i="22"/>
  <c r="AI133" i="22"/>
  <c r="AB133" i="22"/>
  <c r="H133" i="22"/>
  <c r="AJ133" i="22"/>
  <c r="Y133" i="22"/>
  <c r="L133" i="22"/>
  <c r="W169" i="22"/>
  <c r="AL164" i="22"/>
  <c r="AL175" i="22" s="1"/>
  <c r="AC165" i="22"/>
  <c r="V166" i="22"/>
  <c r="Y166" i="22"/>
  <c r="AF128" i="22"/>
  <c r="AF198" i="22" s="1"/>
  <c r="V128" i="22"/>
  <c r="V198" i="22" s="1"/>
  <c r="L128" i="22"/>
  <c r="AD128" i="22"/>
  <c r="S128" i="22"/>
  <c r="H128" i="22"/>
  <c r="H198" i="22" s="1"/>
  <c r="AG128" i="22"/>
  <c r="AG198" i="22" s="1"/>
  <c r="T128" i="22"/>
  <c r="T198" i="22" s="1"/>
  <c r="G128" i="22"/>
  <c r="G198" i="22" s="1"/>
  <c r="AE128" i="22"/>
  <c r="AE198" i="22" s="1"/>
  <c r="R128" i="22"/>
  <c r="R198" i="22" s="1"/>
  <c r="F128" i="22"/>
  <c r="F198" i="22" s="1"/>
  <c r="AI128" i="22"/>
  <c r="AI198" i="22" s="1"/>
  <c r="Q128" i="22"/>
  <c r="Q198" i="22" s="1"/>
  <c r="Y128" i="22"/>
  <c r="Y198" i="22" s="1"/>
  <c r="J128" i="22"/>
  <c r="J198" i="22" s="1"/>
  <c r="AA128" i="22"/>
  <c r="AA198" i="22" s="1"/>
  <c r="I128" i="22"/>
  <c r="Z128" i="22"/>
  <c r="Z198" i="22" s="1"/>
  <c r="X128" i="22"/>
  <c r="X198" i="22" s="1"/>
  <c r="W128" i="22"/>
  <c r="W198" i="22" s="1"/>
  <c r="AJ128" i="22"/>
  <c r="AJ198" i="22" s="1"/>
  <c r="O128" i="22"/>
  <c r="O198" i="22" s="1"/>
  <c r="AH128" i="22"/>
  <c r="AH198" i="22" s="1"/>
  <c r="N128" i="22"/>
  <c r="N198" i="22" s="1"/>
  <c r="AC128" i="22"/>
  <c r="AC198" i="22" s="1"/>
  <c r="AB128" i="22"/>
  <c r="AB198" i="22" s="1"/>
  <c r="AK128" i="22"/>
  <c r="AK198" i="22" s="1"/>
  <c r="U128" i="22"/>
  <c r="U198" i="22" s="1"/>
  <c r="K128" i="22"/>
  <c r="K198" i="22" s="1"/>
  <c r="AL128" i="22"/>
  <c r="AL198" i="22" s="1"/>
  <c r="P128" i="22"/>
  <c r="P198" i="22" s="1"/>
  <c r="M128" i="22"/>
  <c r="M198" i="22" s="1"/>
  <c r="AB166" i="22"/>
  <c r="Q166" i="22"/>
  <c r="AE166" i="22"/>
  <c r="AE176" i="22" s="1"/>
  <c r="AE131" i="22"/>
  <c r="U131" i="22"/>
  <c r="K131" i="22"/>
  <c r="AD131" i="22"/>
  <c r="S131" i="22"/>
  <c r="H131" i="22"/>
  <c r="AF131" i="22"/>
  <c r="R131" i="22"/>
  <c r="F131" i="22"/>
  <c r="AC131" i="22"/>
  <c r="Q131" i="22"/>
  <c r="AB131" i="22"/>
  <c r="N131" i="22"/>
  <c r="AJ131" i="22"/>
  <c r="V131" i="22"/>
  <c r="Y131" i="22"/>
  <c r="G131" i="22"/>
  <c r="X131" i="22"/>
  <c r="W131" i="22"/>
  <c r="AL131" i="22"/>
  <c r="T131" i="22"/>
  <c r="AH131" i="22"/>
  <c r="M131" i="22"/>
  <c r="AG131" i="22"/>
  <c r="L131" i="22"/>
  <c r="O131" i="22"/>
  <c r="AA131" i="22"/>
  <c r="J131" i="22"/>
  <c r="I131" i="22"/>
  <c r="AK131" i="22"/>
  <c r="Z131" i="22"/>
  <c r="P131" i="22"/>
  <c r="AI131" i="22"/>
  <c r="AE196" i="22"/>
  <c r="S198" i="22"/>
  <c r="AH165" i="22"/>
  <c r="AD165" i="22"/>
  <c r="G169" i="22"/>
  <c r="AH169" i="22"/>
  <c r="T164" i="22"/>
  <c r="T175" i="22" s="1"/>
  <c r="X164" i="22"/>
  <c r="X175" i="22" s="1"/>
  <c r="Z164" i="22"/>
  <c r="Z175" i="22" s="1"/>
  <c r="AE164" i="22"/>
  <c r="AE175" i="22" s="1"/>
  <c r="AH166" i="22"/>
  <c r="AC127" i="22"/>
  <c r="S127" i="22"/>
  <c r="I127" i="22"/>
  <c r="AI127" i="22"/>
  <c r="X127" i="22"/>
  <c r="M127" i="22"/>
  <c r="AG127" i="22"/>
  <c r="U127" i="22"/>
  <c r="H127" i="22"/>
  <c r="AF127" i="22"/>
  <c r="T127" i="22"/>
  <c r="G127" i="22"/>
  <c r="Z127" i="22"/>
  <c r="K127" i="22"/>
  <c r="AE127" i="22"/>
  <c r="P127" i="22"/>
  <c r="AB127" i="22"/>
  <c r="J127" i="22"/>
  <c r="AA127" i="22"/>
  <c r="F127" i="22"/>
  <c r="Y127" i="22"/>
  <c r="W127" i="22"/>
  <c r="AK127" i="22"/>
  <c r="Q127" i="22"/>
  <c r="AJ127" i="22"/>
  <c r="O127" i="22"/>
  <c r="AH127" i="22"/>
  <c r="AD127" i="22"/>
  <c r="V127" i="22"/>
  <c r="N127" i="22"/>
  <c r="L127" i="22"/>
  <c r="R127" i="22"/>
  <c r="AL127" i="22"/>
  <c r="AH122" i="22"/>
  <c r="X122" i="22"/>
  <c r="X197" i="22" s="1"/>
  <c r="N122" i="22"/>
  <c r="AF122" i="22"/>
  <c r="AF197" i="22" s="1"/>
  <c r="U122" i="22"/>
  <c r="U197" i="22" s="1"/>
  <c r="J122" i="22"/>
  <c r="AK122" i="22"/>
  <c r="Y122" i="22"/>
  <c r="L122" i="22"/>
  <c r="L197" i="22" s="1"/>
  <c r="AJ122" i="22"/>
  <c r="W122" i="22"/>
  <c r="K122" i="22"/>
  <c r="AC122" i="22"/>
  <c r="O122" i="22"/>
  <c r="AI122" i="22"/>
  <c r="S122" i="22"/>
  <c r="AD122" i="22"/>
  <c r="I122" i="22"/>
  <c r="AB122" i="22"/>
  <c r="H122" i="22"/>
  <c r="Z122" i="22"/>
  <c r="AA122" i="22"/>
  <c r="G122" i="22"/>
  <c r="F122" i="22"/>
  <c r="R122" i="22"/>
  <c r="AL122" i="22"/>
  <c r="Q122" i="22"/>
  <c r="M122" i="22"/>
  <c r="T122" i="22"/>
  <c r="P122" i="22"/>
  <c r="AG122" i="22"/>
  <c r="AE122" i="22"/>
  <c r="V122" i="22"/>
  <c r="AL139" i="22"/>
  <c r="AL172" i="22" s="1"/>
  <c r="AB139" i="22"/>
  <c r="AB172" i="22" s="1"/>
  <c r="R139" i="22"/>
  <c r="R172" i="22" s="1"/>
  <c r="H139" i="22"/>
  <c r="H172" i="22" s="1"/>
  <c r="AJ139" i="22"/>
  <c r="AJ172" i="22" s="1"/>
  <c r="Z139" i="22"/>
  <c r="Z172" i="22" s="1"/>
  <c r="P139" i="22"/>
  <c r="P172" i="22" s="1"/>
  <c r="F139" i="22"/>
  <c r="F172" i="22" s="1"/>
  <c r="AI139" i="22"/>
  <c r="AI172" i="22" s="1"/>
  <c r="Y139" i="22"/>
  <c r="Y172" i="22" s="1"/>
  <c r="O139" i="22"/>
  <c r="O172" i="22" s="1"/>
  <c r="AF139" i="22"/>
  <c r="AF172" i="22" s="1"/>
  <c r="S139" i="22"/>
  <c r="S172" i="22" s="1"/>
  <c r="AG139" i="22"/>
  <c r="AG172" i="22" s="1"/>
  <c r="Q139" i="22"/>
  <c r="Q172" i="22" s="1"/>
  <c r="AE139" i="22"/>
  <c r="AE172" i="22" s="1"/>
  <c r="N139" i="22"/>
  <c r="N172" i="22" s="1"/>
  <c r="AC139" i="22"/>
  <c r="AC172" i="22" s="1"/>
  <c r="J139" i="22"/>
  <c r="J172" i="22" s="1"/>
  <c r="T139" i="22"/>
  <c r="T172" i="22" s="1"/>
  <c r="AD139" i="22"/>
  <c r="AD172" i="22" s="1"/>
  <c r="G139" i="22"/>
  <c r="G172" i="22" s="1"/>
  <c r="AA139" i="22"/>
  <c r="AA172" i="22" s="1"/>
  <c r="AA177" i="22" s="1"/>
  <c r="X139" i="22"/>
  <c r="X172" i="22" s="1"/>
  <c r="W139" i="22"/>
  <c r="W172" i="22" s="1"/>
  <c r="M139" i="22"/>
  <c r="M172" i="22" s="1"/>
  <c r="L139" i="22"/>
  <c r="L172" i="22" s="1"/>
  <c r="AK139" i="22"/>
  <c r="AK172" i="22" s="1"/>
  <c r="K139" i="22"/>
  <c r="K172" i="22" s="1"/>
  <c r="V139" i="22"/>
  <c r="V172" i="22" s="1"/>
  <c r="U139" i="22"/>
  <c r="U172" i="22" s="1"/>
  <c r="AH139" i="22"/>
  <c r="AH172" i="22" s="1"/>
  <c r="I139" i="22"/>
  <c r="I172" i="22" s="1"/>
  <c r="R165" i="22"/>
  <c r="AF164" i="22"/>
  <c r="AF175" i="22" s="1"/>
  <c r="N164" i="22"/>
  <c r="N175" i="22" s="1"/>
  <c r="AK123" i="22"/>
  <c r="AA123" i="22"/>
  <c r="Q123" i="22"/>
  <c r="G123" i="22"/>
  <c r="AC123" i="22"/>
  <c r="R123" i="22"/>
  <c r="F123" i="22"/>
  <c r="AJ123" i="22"/>
  <c r="X123" i="22"/>
  <c r="L123" i="22"/>
  <c r="AI123" i="22"/>
  <c r="W123" i="22"/>
  <c r="K123" i="22"/>
  <c r="V123" i="22"/>
  <c r="H123" i="22"/>
  <c r="AD123" i="22"/>
  <c r="N123" i="22"/>
  <c r="AF123" i="22"/>
  <c r="M123" i="22"/>
  <c r="AE123" i="22"/>
  <c r="J123" i="22"/>
  <c r="AB123" i="22"/>
  <c r="I123" i="22"/>
  <c r="Z123" i="22"/>
  <c r="T123" i="22"/>
  <c r="AL123" i="22"/>
  <c r="S123" i="22"/>
  <c r="P123" i="22"/>
  <c r="Y123" i="22"/>
  <c r="O123" i="22"/>
  <c r="AG123" i="22"/>
  <c r="AH123" i="22"/>
  <c r="U123" i="22"/>
  <c r="I166" i="22"/>
  <c r="AK132" i="22"/>
  <c r="AA132" i="22"/>
  <c r="AH132" i="22"/>
  <c r="X132" i="22"/>
  <c r="N132" i="22"/>
  <c r="Z132" i="22"/>
  <c r="O132" i="22"/>
  <c r="AD132" i="22"/>
  <c r="Q132" i="22"/>
  <c r="AC132" i="22"/>
  <c r="P132" i="22"/>
  <c r="AJ132" i="22"/>
  <c r="T132" i="22"/>
  <c r="F132" i="22"/>
  <c r="Y132" i="22"/>
  <c r="J132" i="22"/>
  <c r="V132" i="22"/>
  <c r="U132" i="22"/>
  <c r="S132" i="22"/>
  <c r="AL132" i="22"/>
  <c r="R132" i="22"/>
  <c r="AF132" i="22"/>
  <c r="K132" i="22"/>
  <c r="AE132" i="22"/>
  <c r="I132" i="22"/>
  <c r="H132" i="22"/>
  <c r="M132" i="22"/>
  <c r="G132" i="22"/>
  <c r="AI132" i="22"/>
  <c r="AG132" i="22"/>
  <c r="AB132" i="22"/>
  <c r="W132" i="22"/>
  <c r="L132" i="22"/>
  <c r="AL130" i="22"/>
  <c r="AB130" i="22"/>
  <c r="R130" i="22"/>
  <c r="H130" i="22"/>
  <c r="AH130" i="22"/>
  <c r="W130" i="22"/>
  <c r="L130" i="22"/>
  <c r="AE130" i="22"/>
  <c r="S130" i="22"/>
  <c r="F130" i="22"/>
  <c r="AD130" i="22"/>
  <c r="Q130" i="22"/>
  <c r="AJ130" i="22"/>
  <c r="U130" i="22"/>
  <c r="Z130" i="22"/>
  <c r="K130" i="22"/>
  <c r="Y130" i="22"/>
  <c r="G130" i="22"/>
  <c r="T130" i="22"/>
  <c r="X130" i="22"/>
  <c r="V130" i="22"/>
  <c r="AG130" i="22"/>
  <c r="N130" i="22"/>
  <c r="AF130" i="22"/>
  <c r="M130" i="22"/>
  <c r="P130" i="22"/>
  <c r="AC130" i="22"/>
  <c r="O130" i="22"/>
  <c r="AI130" i="22"/>
  <c r="J130" i="22"/>
  <c r="I130" i="22"/>
  <c r="AK130" i="22"/>
  <c r="AA130" i="22"/>
  <c r="AI129" i="22"/>
  <c r="AI199" i="22" s="1"/>
  <c r="Y129" i="22"/>
  <c r="Y199" i="22" s="1"/>
  <c r="O129" i="22"/>
  <c r="O199" i="22" s="1"/>
  <c r="AL129" i="22"/>
  <c r="AA129" i="22"/>
  <c r="AA199" i="22" s="1"/>
  <c r="P129" i="22"/>
  <c r="AE129" i="22"/>
  <c r="AE199" i="22" s="1"/>
  <c r="S129" i="22"/>
  <c r="S199" i="22" s="1"/>
  <c r="G129" i="22"/>
  <c r="G199" i="22" s="1"/>
  <c r="AD129" i="22"/>
  <c r="AD199" i="22" s="1"/>
  <c r="R129" i="22"/>
  <c r="F129" i="22"/>
  <c r="F199" i="22" s="1"/>
  <c r="Z129" i="22"/>
  <c r="Z199" i="22" s="1"/>
  <c r="K129" i="22"/>
  <c r="K199" i="22" s="1"/>
  <c r="AG129" i="22"/>
  <c r="Q129" i="22"/>
  <c r="X129" i="22"/>
  <c r="X199" i="22" s="1"/>
  <c r="H129" i="22"/>
  <c r="H199" i="22" s="1"/>
  <c r="W129" i="22"/>
  <c r="W199" i="22" s="1"/>
  <c r="U129" i="22"/>
  <c r="U199" i="22" s="1"/>
  <c r="V129" i="22"/>
  <c r="V199" i="22" s="1"/>
  <c r="AH129" i="22"/>
  <c r="AH199" i="22" s="1"/>
  <c r="M129" i="22"/>
  <c r="M199" i="22" s="1"/>
  <c r="AF129" i="22"/>
  <c r="AF199" i="22" s="1"/>
  <c r="L129" i="22"/>
  <c r="AB129" i="22"/>
  <c r="AJ129" i="22"/>
  <c r="T129" i="22"/>
  <c r="T199" i="22" s="1"/>
  <c r="N129" i="22"/>
  <c r="I129" i="22"/>
  <c r="I199" i="22" s="1"/>
  <c r="AC129" i="22"/>
  <c r="AC199" i="22" s="1"/>
  <c r="J129" i="22"/>
  <c r="J199" i="22" s="1"/>
  <c r="AK129" i="22"/>
  <c r="AJ165" i="22"/>
  <c r="Q169" i="22"/>
  <c r="I164" i="22"/>
  <c r="I175" i="22" s="1"/>
  <c r="AG125" i="22"/>
  <c r="W125" i="22"/>
  <c r="M125" i="22"/>
  <c r="AE125" i="22"/>
  <c r="T125" i="22"/>
  <c r="I125" i="22"/>
  <c r="AI125" i="22"/>
  <c r="V125" i="22"/>
  <c r="J125" i="22"/>
  <c r="AH125" i="22"/>
  <c r="U125" i="22"/>
  <c r="H125" i="22"/>
  <c r="Y125" i="22"/>
  <c r="G125" i="22"/>
  <c r="AC125" i="22"/>
  <c r="O125" i="22"/>
  <c r="AD125" i="22"/>
  <c r="L125" i="22"/>
  <c r="AB125" i="22"/>
  <c r="K125" i="22"/>
  <c r="Z125" i="22"/>
  <c r="AA125" i="22"/>
  <c r="F125" i="22"/>
  <c r="AL125" i="22"/>
  <c r="R125" i="22"/>
  <c r="AK125" i="22"/>
  <c r="Q125" i="22"/>
  <c r="X125" i="22"/>
  <c r="AJ125" i="22"/>
  <c r="AF125" i="22"/>
  <c r="S125" i="22"/>
  <c r="P125" i="22"/>
  <c r="N125" i="22"/>
  <c r="AL120" i="22"/>
  <c r="AB120" i="22"/>
  <c r="R120" i="22"/>
  <c r="H120" i="22"/>
  <c r="H171" i="22" s="1"/>
  <c r="AD120" i="22"/>
  <c r="S120" i="22"/>
  <c r="G120" i="22"/>
  <c r="Z120" i="22"/>
  <c r="N120" i="22"/>
  <c r="AK120" i="22"/>
  <c r="Y120" i="22"/>
  <c r="M120" i="22"/>
  <c r="M196" i="22" s="1"/>
  <c r="AE120" i="22"/>
  <c r="AE171" i="22" s="1"/>
  <c r="O120" i="22"/>
  <c r="AI120" i="22"/>
  <c r="U120" i="22"/>
  <c r="U196" i="22" s="1"/>
  <c r="AF120" i="22"/>
  <c r="K120" i="22"/>
  <c r="X120" i="22"/>
  <c r="AC120" i="22"/>
  <c r="J120" i="22"/>
  <c r="F120" i="22"/>
  <c r="AA120" i="22"/>
  <c r="I120" i="22"/>
  <c r="T120" i="22"/>
  <c r="T196" i="22" s="1"/>
  <c r="AJ120" i="22"/>
  <c r="Q120" i="22"/>
  <c r="Q196" i="22" s="1"/>
  <c r="W120" i="22"/>
  <c r="AH120" i="22"/>
  <c r="AG120" i="22"/>
  <c r="V120" i="22"/>
  <c r="P120" i="22"/>
  <c r="L120" i="22"/>
  <c r="L196" i="22" s="1"/>
  <c r="W166" i="22"/>
  <c r="AC136" i="22"/>
  <c r="S136" i="22"/>
  <c r="S201" i="22" s="1"/>
  <c r="I136" i="22"/>
  <c r="I201" i="22" s="1"/>
  <c r="AJ136" i="22"/>
  <c r="Z136" i="22"/>
  <c r="P136" i="22"/>
  <c r="F136" i="22"/>
  <c r="AL136" i="22"/>
  <c r="AL201" i="22" s="1"/>
  <c r="Y136" i="22"/>
  <c r="Y201" i="22" s="1"/>
  <c r="M136" i="22"/>
  <c r="AD136" i="22"/>
  <c r="O136" i="22"/>
  <c r="O201" i="22" s="1"/>
  <c r="AB136" i="22"/>
  <c r="N136" i="22"/>
  <c r="AI136" i="22"/>
  <c r="T136" i="22"/>
  <c r="X136" i="22"/>
  <c r="X201" i="22" s="1"/>
  <c r="H136" i="22"/>
  <c r="H201" i="22" s="1"/>
  <c r="AH136" i="22"/>
  <c r="AH201" i="22" s="1"/>
  <c r="L136" i="22"/>
  <c r="L201" i="22" s="1"/>
  <c r="AG136" i="22"/>
  <c r="K136" i="22"/>
  <c r="AF136" i="22"/>
  <c r="J136" i="22"/>
  <c r="AE136" i="22"/>
  <c r="G136" i="22"/>
  <c r="V136" i="22"/>
  <c r="U136" i="22"/>
  <c r="U201" i="22" s="1"/>
  <c r="Q136" i="22"/>
  <c r="Q201" i="22" s="1"/>
  <c r="AA136" i="22"/>
  <c r="AA201" i="22" s="1"/>
  <c r="W136" i="22"/>
  <c r="R136" i="22"/>
  <c r="AK136" i="22"/>
  <c r="O166" i="22"/>
  <c r="AC196" i="22"/>
  <c r="AD196" i="22"/>
  <c r="AF196" i="22"/>
  <c r="W165" i="22"/>
  <c r="Q165" i="22"/>
  <c r="AI169" i="22"/>
  <c r="P169" i="22"/>
  <c r="AC169" i="22"/>
  <c r="O164" i="22"/>
  <c r="O175" i="22" s="1"/>
  <c r="N166" i="22"/>
  <c r="J164" i="22"/>
  <c r="J175" i="22" s="1"/>
  <c r="AD164" i="22"/>
  <c r="AD175" i="22" s="1"/>
  <c r="AI166" i="22"/>
  <c r="AF166" i="22"/>
  <c r="AK196" i="22"/>
  <c r="AL196" i="22"/>
  <c r="F197" i="22"/>
  <c r="Y196" i="22"/>
  <c r="Z196" i="22"/>
  <c r="K165" i="22"/>
  <c r="AI138" i="22"/>
  <c r="Y138" i="22"/>
  <c r="O138" i="22"/>
  <c r="AG138" i="22"/>
  <c r="W138" i="22"/>
  <c r="M138" i="22"/>
  <c r="AF138" i="22"/>
  <c r="V138" i="22"/>
  <c r="L138" i="22"/>
  <c r="AA138" i="22"/>
  <c r="K138" i="22"/>
  <c r="X138" i="22"/>
  <c r="H138" i="22"/>
  <c r="AL138" i="22"/>
  <c r="U138" i="22"/>
  <c r="G138" i="22"/>
  <c r="AD138" i="22"/>
  <c r="J138" i="22"/>
  <c r="AK138" i="22"/>
  <c r="R138" i="22"/>
  <c r="T138" i="22"/>
  <c r="S138" i="22"/>
  <c r="Q138" i="22"/>
  <c r="P138" i="22"/>
  <c r="AE138" i="22"/>
  <c r="F138" i="22"/>
  <c r="AC138" i="22"/>
  <c r="AB138" i="22"/>
  <c r="AJ138" i="22"/>
  <c r="AH138" i="22"/>
  <c r="Z138" i="22"/>
  <c r="I138" i="22"/>
  <c r="N138" i="22"/>
  <c r="AB165" i="22"/>
  <c r="O169" i="22"/>
  <c r="AB164" i="22"/>
  <c r="AB175" i="22" s="1"/>
  <c r="W164" i="22"/>
  <c r="W175" i="22" s="1"/>
  <c r="AD124" i="22"/>
  <c r="T124" i="22"/>
  <c r="J124" i="22"/>
  <c r="AJ124" i="22"/>
  <c r="Y124" i="22"/>
  <c r="N124" i="22"/>
  <c r="AI124" i="22"/>
  <c r="W124" i="22"/>
  <c r="K124" i="22"/>
  <c r="AH124" i="22"/>
  <c r="V124" i="22"/>
  <c r="I124" i="22"/>
  <c r="AE124" i="22"/>
  <c r="P124" i="22"/>
  <c r="AL124" i="22"/>
  <c r="U124" i="22"/>
  <c r="F124" i="22"/>
  <c r="AC124" i="22"/>
  <c r="L124" i="22"/>
  <c r="AB124" i="22"/>
  <c r="H124" i="22"/>
  <c r="AA124" i="22"/>
  <c r="G124" i="22"/>
  <c r="Z124" i="22"/>
  <c r="R124" i="22"/>
  <c r="AK124" i="22"/>
  <c r="Q124" i="22"/>
  <c r="S124" i="22"/>
  <c r="O124" i="22"/>
  <c r="M124" i="22"/>
  <c r="AF124" i="22"/>
  <c r="AG124" i="22"/>
  <c r="X124" i="22"/>
  <c r="AJ166" i="22"/>
  <c r="AE197" i="22"/>
  <c r="F205" i="23"/>
  <c r="C282" i="23"/>
  <c r="F194" i="23"/>
  <c r="J194" i="23"/>
  <c r="C280" i="23" l="1"/>
  <c r="C278" i="23" s="1"/>
  <c r="AH203" i="24"/>
  <c r="Z176" i="24"/>
  <c r="AD176" i="24"/>
  <c r="AD179" i="24" s="1"/>
  <c r="AI176" i="24"/>
  <c r="AI179" i="24" s="1"/>
  <c r="T171" i="24"/>
  <c r="M171" i="24"/>
  <c r="R171" i="24"/>
  <c r="R196" i="24"/>
  <c r="S171" i="24"/>
  <c r="S176" i="24" s="1"/>
  <c r="S179" i="24" s="1"/>
  <c r="AG171" i="24"/>
  <c r="AD197" i="24"/>
  <c r="V197" i="24"/>
  <c r="V203" i="24" s="1"/>
  <c r="D113" i="1" s="1"/>
  <c r="Z200" i="24"/>
  <c r="Z203" i="24" s="1"/>
  <c r="AG200" i="24"/>
  <c r="T200" i="24"/>
  <c r="AK171" i="24"/>
  <c r="T197" i="24"/>
  <c r="AJ200" i="24"/>
  <c r="I171" i="24"/>
  <c r="W171" i="24"/>
  <c r="W176" i="24" s="1"/>
  <c r="W179" i="24" s="1"/>
  <c r="W196" i="24"/>
  <c r="AF176" i="24"/>
  <c r="I169" i="24"/>
  <c r="J200" i="24"/>
  <c r="W200" i="24"/>
  <c r="Q200" i="24"/>
  <c r="Q169" i="24"/>
  <c r="F171" i="24"/>
  <c r="F176" i="24" s="1"/>
  <c r="F179" i="24" s="1"/>
  <c r="F196" i="24"/>
  <c r="AC171" i="24"/>
  <c r="N171" i="24"/>
  <c r="I197" i="24"/>
  <c r="AF197" i="24"/>
  <c r="AJ197" i="24"/>
  <c r="AJ203" i="24" s="1"/>
  <c r="AA176" i="24"/>
  <c r="AA179" i="24" s="1"/>
  <c r="S200" i="24"/>
  <c r="AF171" i="24"/>
  <c r="AF196" i="24"/>
  <c r="P203" i="24"/>
  <c r="AF179" i="24"/>
  <c r="Z171" i="24"/>
  <c r="O203" i="24"/>
  <c r="X200" i="24"/>
  <c r="U169" i="24"/>
  <c r="U200" i="24"/>
  <c r="AA171" i="24"/>
  <c r="AC197" i="24"/>
  <c r="AG196" i="24"/>
  <c r="J169" i="24"/>
  <c r="AA196" i="24"/>
  <c r="AA200" i="24"/>
  <c r="AB171" i="24"/>
  <c r="AB176" i="24" s="1"/>
  <c r="AB179" i="24" s="1"/>
  <c r="AB196" i="24"/>
  <c r="K171" i="24"/>
  <c r="K176" i="24" s="1"/>
  <c r="K179" i="24" s="1"/>
  <c r="K196" i="24"/>
  <c r="X171" i="24"/>
  <c r="X176" i="24" s="1"/>
  <c r="X179" i="24" s="1"/>
  <c r="AE197" i="24"/>
  <c r="G197" i="24"/>
  <c r="AF169" i="24"/>
  <c r="T196" i="24"/>
  <c r="T203" i="24" s="1"/>
  <c r="Z179" i="24"/>
  <c r="N203" i="24"/>
  <c r="AD200" i="24"/>
  <c r="AD203" i="24" s="1"/>
  <c r="AK200" i="24"/>
  <c r="G171" i="24"/>
  <c r="G176" i="24" s="1"/>
  <c r="G179" i="24" s="1"/>
  <c r="G196" i="24"/>
  <c r="G203" i="24" s="1"/>
  <c r="U171" i="24"/>
  <c r="U176" i="24" s="1"/>
  <c r="U179" i="24" s="1"/>
  <c r="U196" i="24"/>
  <c r="U203" i="24" s="1"/>
  <c r="AH171" i="24"/>
  <c r="AH176" i="24" s="1"/>
  <c r="AH179" i="24" s="1"/>
  <c r="AK169" i="24"/>
  <c r="AK176" i="24" s="1"/>
  <c r="AK179" i="24" s="1"/>
  <c r="J197" i="24"/>
  <c r="X197" i="24"/>
  <c r="X203" i="24" s="1"/>
  <c r="P169" i="24"/>
  <c r="S203" i="24"/>
  <c r="AC176" i="24"/>
  <c r="AC179" i="24" s="1"/>
  <c r="M196" i="24"/>
  <c r="AG176" i="24"/>
  <c r="AG179" i="24" s="1"/>
  <c r="N169" i="24"/>
  <c r="N176" i="24" s="1"/>
  <c r="N179" i="24" s="1"/>
  <c r="K200" i="24"/>
  <c r="K169" i="24"/>
  <c r="Y200" i="24"/>
  <c r="Y203" i="24" s="1"/>
  <c r="H200" i="24"/>
  <c r="V169" i="24"/>
  <c r="V176" i="24" s="1"/>
  <c r="V179" i="24" s="1"/>
  <c r="AL171" i="24"/>
  <c r="AL176" i="24" s="1"/>
  <c r="AL179" i="24" s="1"/>
  <c r="AL196" i="24"/>
  <c r="AL203" i="24" s="1"/>
  <c r="AD171" i="24"/>
  <c r="AE171" i="24"/>
  <c r="AE176" i="24" s="1"/>
  <c r="AE179" i="24" s="1"/>
  <c r="AE196" i="24"/>
  <c r="O171" i="24"/>
  <c r="O176" i="24" s="1"/>
  <c r="O179" i="24" s="1"/>
  <c r="I196" i="24"/>
  <c r="AA197" i="24"/>
  <c r="M169" i="24"/>
  <c r="M176" i="24" s="1"/>
  <c r="M179" i="24" s="1"/>
  <c r="AC203" i="24"/>
  <c r="AL200" i="24"/>
  <c r="J171" i="24"/>
  <c r="J196" i="24"/>
  <c r="T176" i="24"/>
  <c r="T179" i="24" s="1"/>
  <c r="L203" i="24"/>
  <c r="AI200" i="24"/>
  <c r="AI203" i="24" s="1"/>
  <c r="R169" i="24"/>
  <c r="R176" i="24" s="1"/>
  <c r="R179" i="24" s="1"/>
  <c r="R200" i="24"/>
  <c r="P171" i="24"/>
  <c r="P176" i="24" s="1"/>
  <c r="P179" i="24" s="1"/>
  <c r="H171" i="24"/>
  <c r="H196" i="24"/>
  <c r="H203" i="24" s="1"/>
  <c r="L171" i="24"/>
  <c r="L176" i="24" s="1"/>
  <c r="L179" i="24" s="1"/>
  <c r="Y171" i="24"/>
  <c r="Y176" i="24" s="1"/>
  <c r="Y179" i="24" s="1"/>
  <c r="K197" i="24"/>
  <c r="AK197" i="24"/>
  <c r="AK203" i="24" s="1"/>
  <c r="H169" i="24"/>
  <c r="H176" i="24" s="1"/>
  <c r="H179" i="24" s="1"/>
  <c r="I176" i="24"/>
  <c r="I179" i="24" s="1"/>
  <c r="L200" i="24"/>
  <c r="F200" i="24"/>
  <c r="AB200" i="24"/>
  <c r="Q171" i="24"/>
  <c r="Q176" i="24" s="1"/>
  <c r="Q179" i="24" s="1"/>
  <c r="Q196" i="24"/>
  <c r="Q203" i="24" s="1"/>
  <c r="AJ171" i="24"/>
  <c r="AJ176" i="24" s="1"/>
  <c r="AJ179" i="24" s="1"/>
  <c r="V171" i="24"/>
  <c r="AI171" i="24"/>
  <c r="M197" i="24"/>
  <c r="Y197" i="24"/>
  <c r="H197" i="24"/>
  <c r="N176" i="22"/>
  <c r="N179" i="22" s="1"/>
  <c r="V176" i="22"/>
  <c r="F176" i="22"/>
  <c r="F179" i="22" s="1"/>
  <c r="AK176" i="22"/>
  <c r="AL176" i="22"/>
  <c r="AA176" i="22"/>
  <c r="AA179" i="22" s="1"/>
  <c r="AA171" i="22"/>
  <c r="AA196" i="22"/>
  <c r="AA203" i="22" s="1"/>
  <c r="M173" i="22"/>
  <c r="M177" i="22" s="1"/>
  <c r="F171" i="22"/>
  <c r="F196" i="22"/>
  <c r="T201" i="22"/>
  <c r="P201" i="22"/>
  <c r="V171" i="22"/>
  <c r="J171" i="22"/>
  <c r="J176" i="22" s="1"/>
  <c r="J179" i="22" s="1"/>
  <c r="J196" i="22"/>
  <c r="Y171" i="22"/>
  <c r="Y176" i="22" s="1"/>
  <c r="Y179" i="22" s="1"/>
  <c r="AL171" i="22"/>
  <c r="V196" i="22"/>
  <c r="AJ199" i="22"/>
  <c r="T177" i="22"/>
  <c r="Y177" i="22"/>
  <c r="N197" i="22"/>
  <c r="AI197" i="22"/>
  <c r="L200" i="22"/>
  <c r="U200" i="22"/>
  <c r="U203" i="22" s="1"/>
  <c r="W173" i="22"/>
  <c r="W177" i="22" s="1"/>
  <c r="U173" i="22"/>
  <c r="U177" i="22" s="1"/>
  <c r="AK173" i="22"/>
  <c r="AK177" i="22" s="1"/>
  <c r="AL200" i="22"/>
  <c r="O197" i="22"/>
  <c r="H200" i="22"/>
  <c r="AG200" i="22"/>
  <c r="P171" i="22"/>
  <c r="P176" i="22" s="1"/>
  <c r="P179" i="22" s="1"/>
  <c r="P196" i="22"/>
  <c r="M171" i="22"/>
  <c r="M176" i="22" s="1"/>
  <c r="AB171" i="22"/>
  <c r="AB176" i="22" s="1"/>
  <c r="AB196" i="22"/>
  <c r="W197" i="22"/>
  <c r="H166" i="22"/>
  <c r="H176" i="22" s="1"/>
  <c r="H179" i="22" s="1"/>
  <c r="AE201" i="22"/>
  <c r="AI201" i="22"/>
  <c r="Z201" i="22"/>
  <c r="AG171" i="22"/>
  <c r="AC171" i="22"/>
  <c r="AK171" i="22"/>
  <c r="AB199" i="22"/>
  <c r="Q199" i="22"/>
  <c r="P199" i="22"/>
  <c r="R176" i="22"/>
  <c r="J177" i="22"/>
  <c r="AI177" i="22"/>
  <c r="AG197" i="22"/>
  <c r="AA197" i="22"/>
  <c r="N200" i="22"/>
  <c r="AG196" i="22"/>
  <c r="AG203" i="22" s="1"/>
  <c r="X173" i="22"/>
  <c r="AL173" i="22"/>
  <c r="AL177" i="22" s="1"/>
  <c r="AL179" i="22" s="1"/>
  <c r="I173" i="22"/>
  <c r="I177" i="22" s="1"/>
  <c r="Z166" i="22"/>
  <c r="O171" i="22"/>
  <c r="O176" i="22" s="1"/>
  <c r="O179" i="22" s="1"/>
  <c r="AK200" i="22"/>
  <c r="R171" i="22"/>
  <c r="R197" i="22"/>
  <c r="Y200" i="22"/>
  <c r="T200" i="22"/>
  <c r="T203" i="22" s="1"/>
  <c r="F201" i="22"/>
  <c r="O177" i="22"/>
  <c r="AC176" i="22"/>
  <c r="AK197" i="22"/>
  <c r="AK203" i="22" s="1"/>
  <c r="AD200" i="22"/>
  <c r="G201" i="22"/>
  <c r="AG166" i="22"/>
  <c r="AG176" i="22" s="1"/>
  <c r="J201" i="22"/>
  <c r="N201" i="22"/>
  <c r="AJ201" i="22"/>
  <c r="AH171" i="22"/>
  <c r="AH196" i="22"/>
  <c r="AH203" i="22" s="1"/>
  <c r="X171" i="22"/>
  <c r="X176" i="22" s="1"/>
  <c r="X179" i="22" s="1"/>
  <c r="X196" i="22"/>
  <c r="X203" i="22" s="1"/>
  <c r="N171" i="22"/>
  <c r="N196" i="22"/>
  <c r="N203" i="22" s="1"/>
  <c r="R196" i="22"/>
  <c r="L199" i="22"/>
  <c r="L203" i="22" s="1"/>
  <c r="AG199" i="22"/>
  <c r="F177" i="22"/>
  <c r="L166" i="22"/>
  <c r="P197" i="22"/>
  <c r="H197" i="22"/>
  <c r="O200" i="22"/>
  <c r="P200" i="22"/>
  <c r="Q200" i="22"/>
  <c r="H173" i="22"/>
  <c r="N173" i="22"/>
  <c r="S173" i="22"/>
  <c r="S177" i="22" s="1"/>
  <c r="J200" i="22"/>
  <c r="I171" i="22"/>
  <c r="I176" i="22" s="1"/>
  <c r="I196" i="22"/>
  <c r="N199" i="22"/>
  <c r="V201" i="22"/>
  <c r="AK201" i="22"/>
  <c r="AF201" i="22"/>
  <c r="AB201" i="22"/>
  <c r="W171" i="22"/>
  <c r="W176" i="22" s="1"/>
  <c r="K171" i="22"/>
  <c r="K176" i="22" s="1"/>
  <c r="K196" i="22"/>
  <c r="Z171" i="22"/>
  <c r="AL199" i="22"/>
  <c r="AL203" i="22" s="1"/>
  <c r="L177" i="22"/>
  <c r="N177" i="22"/>
  <c r="P177" i="22"/>
  <c r="V197" i="22"/>
  <c r="AC197" i="22"/>
  <c r="AC203" i="22" s="1"/>
  <c r="AJ197" i="22"/>
  <c r="AA200" i="22"/>
  <c r="R200" i="22"/>
  <c r="Z176" i="22"/>
  <c r="Z179" i="22" s="1"/>
  <c r="AB173" i="22"/>
  <c r="AB177" i="22" s="1"/>
  <c r="AD173" i="22"/>
  <c r="AC173" i="22"/>
  <c r="AC177" i="22" s="1"/>
  <c r="W203" i="22"/>
  <c r="R201" i="22"/>
  <c r="K201" i="22"/>
  <c r="Q171" i="22"/>
  <c r="Q176" i="22" s="1"/>
  <c r="Q179" i="22" s="1"/>
  <c r="AF171" i="22"/>
  <c r="AF176" i="22" s="1"/>
  <c r="G171" i="22"/>
  <c r="G176" i="22" s="1"/>
  <c r="AK199" i="22"/>
  <c r="I197" i="22"/>
  <c r="M197" i="22"/>
  <c r="M203" i="22" s="1"/>
  <c r="AB200" i="22"/>
  <c r="AF200" i="22"/>
  <c r="AF203" i="22" s="1"/>
  <c r="M200" i="22"/>
  <c r="Z173" i="22"/>
  <c r="Z177" i="22" s="1"/>
  <c r="J173" i="22"/>
  <c r="Q173" i="22"/>
  <c r="L173" i="22"/>
  <c r="K200" i="22"/>
  <c r="L171" i="22"/>
  <c r="AH177" i="22"/>
  <c r="AD177" i="22"/>
  <c r="W201" i="22"/>
  <c r="AG201" i="22"/>
  <c r="AD201" i="22"/>
  <c r="AC201" i="22"/>
  <c r="AJ171" i="22"/>
  <c r="AJ176" i="22" s="1"/>
  <c r="AJ179" i="22" s="1"/>
  <c r="AJ196" i="22"/>
  <c r="AJ203" i="22" s="1"/>
  <c r="U171" i="22"/>
  <c r="U176" i="22" s="1"/>
  <c r="S171" i="22"/>
  <c r="S196" i="22"/>
  <c r="S203" i="22" s="1"/>
  <c r="H196" i="22"/>
  <c r="Q177" i="22"/>
  <c r="AJ177" i="22"/>
  <c r="AH176" i="22"/>
  <c r="AH179" i="22" s="1"/>
  <c r="G196" i="22"/>
  <c r="S197" i="22"/>
  <c r="AD197" i="22"/>
  <c r="AD203" i="22" s="1"/>
  <c r="Y197" i="22"/>
  <c r="Y203" i="22" s="1"/>
  <c r="AE200" i="22"/>
  <c r="X200" i="22"/>
  <c r="F173" i="22"/>
  <c r="AH173" i="22"/>
  <c r="AE173" i="22"/>
  <c r="AE177" i="22" s="1"/>
  <c r="AE179" i="22" s="1"/>
  <c r="V173" i="22"/>
  <c r="V177" i="22" s="1"/>
  <c r="AE203" i="22"/>
  <c r="Z203" i="22"/>
  <c r="O196" i="22"/>
  <c r="M201" i="22"/>
  <c r="T166" i="22"/>
  <c r="T171" i="22"/>
  <c r="AI171" i="22"/>
  <c r="AI176" i="22" s="1"/>
  <c r="AI179" i="22" s="1"/>
  <c r="AI196" i="22"/>
  <c r="AD171" i="22"/>
  <c r="AD176" i="22" s="1"/>
  <c r="AD179" i="22" s="1"/>
  <c r="R199" i="22"/>
  <c r="X177" i="22"/>
  <c r="AG177" i="22"/>
  <c r="H177" i="22"/>
  <c r="Q197" i="22"/>
  <c r="Q203" i="22" s="1"/>
  <c r="J197" i="22"/>
  <c r="AJ200" i="22"/>
  <c r="F200" i="22"/>
  <c r="AI200" i="22"/>
  <c r="G173" i="22"/>
  <c r="G177" i="22" s="1"/>
  <c r="K173" i="22"/>
  <c r="K177" i="22" s="1"/>
  <c r="R173" i="22"/>
  <c r="R177" i="22" s="1"/>
  <c r="AF173" i="22"/>
  <c r="AF177" i="22" s="1"/>
  <c r="S166" i="22"/>
  <c r="K203" i="24" l="1"/>
  <c r="M203" i="24"/>
  <c r="AB203" i="24"/>
  <c r="J203" i="24"/>
  <c r="AF203" i="24"/>
  <c r="F203" i="24"/>
  <c r="AE203" i="24"/>
  <c r="AA203" i="24"/>
  <c r="J176" i="24"/>
  <c r="J179" i="24" s="1"/>
  <c r="R203" i="24"/>
  <c r="AG203" i="24"/>
  <c r="I203" i="24"/>
  <c r="W203" i="24"/>
  <c r="AB179" i="22"/>
  <c r="G179" i="22"/>
  <c r="U179" i="22"/>
  <c r="I179" i="22"/>
  <c r="AF179" i="22"/>
  <c r="K179" i="22"/>
  <c r="W179" i="22"/>
  <c r="L176" i="22"/>
  <c r="L179" i="22" s="1"/>
  <c r="F203" i="22"/>
  <c r="P203" i="22"/>
  <c r="AI203" i="22"/>
  <c r="T176" i="22"/>
  <c r="T179" i="22" s="1"/>
  <c r="V203" i="22"/>
  <c r="K203" i="22"/>
  <c r="R179" i="22"/>
  <c r="AC179" i="22"/>
  <c r="V179" i="22"/>
  <c r="H203" i="22"/>
  <c r="G203" i="22"/>
  <c r="S176" i="22"/>
  <c r="S179" i="22" s="1"/>
  <c r="O203" i="22"/>
  <c r="R203" i="22"/>
  <c r="AG179" i="22"/>
  <c r="AB203" i="22"/>
  <c r="J203" i="22"/>
  <c r="AK179" i="22"/>
  <c r="I203" i="22"/>
  <c r="M179" i="22"/>
  <c r="I55" i="19" l="1"/>
  <c r="I54" i="19"/>
  <c r="I53" i="19"/>
  <c r="W36" i="19" s="1"/>
  <c r="I52" i="19"/>
  <c r="W43" i="19"/>
  <c r="U43" i="19"/>
  <c r="C43" i="19"/>
  <c r="O43" i="19" s="1"/>
  <c r="S43" i="19" s="1"/>
  <c r="Y36" i="19"/>
  <c r="E36" i="19"/>
  <c r="Q36" i="19" s="1"/>
  <c r="U36" i="19" s="1"/>
  <c r="AA36" i="19" s="1"/>
  <c r="AC36" i="19" s="1"/>
  <c r="C57" i="19" s="1"/>
  <c r="C36" i="19"/>
  <c r="W28" i="19"/>
  <c r="U28" i="19"/>
  <c r="C28" i="19"/>
  <c r="O28" i="19" s="1"/>
  <c r="S28" i="19" s="1"/>
  <c r="Y28" i="19" s="1"/>
  <c r="AA28" i="19" s="1"/>
  <c r="C56" i="19" s="1"/>
  <c r="W21" i="19"/>
  <c r="U21" i="19"/>
  <c r="O21" i="19"/>
  <c r="S21" i="19" s="1"/>
  <c r="Y21" i="19" s="1"/>
  <c r="AA21" i="19" s="1"/>
  <c r="C55" i="19" s="1"/>
  <c r="AE15" i="19"/>
  <c r="AC15" i="19"/>
  <c r="W15" i="19"/>
  <c r="Q15" i="19"/>
  <c r="Y15" i="19" s="1"/>
  <c r="M15" i="19"/>
  <c r="Q10" i="19"/>
  <c r="O10" i="19"/>
  <c r="M10" i="19"/>
  <c r="K10" i="19"/>
  <c r="S10" i="19" s="1"/>
  <c r="U10" i="19" s="1"/>
  <c r="U6" i="19"/>
  <c r="Q6" i="19"/>
  <c r="W6" i="19" s="1"/>
  <c r="Y6" i="19" s="1"/>
  <c r="C51" i="19" s="1"/>
  <c r="O6" i="19"/>
  <c r="D85" i="18"/>
  <c r="D84" i="18"/>
  <c r="D83" i="18"/>
  <c r="V88" i="18" s="1"/>
  <c r="D82" i="18"/>
  <c r="V81" i="18"/>
  <c r="V74" i="18"/>
  <c r="W74" i="18" s="1"/>
  <c r="U74" i="18"/>
  <c r="R74" i="18"/>
  <c r="T74" i="18" s="1"/>
  <c r="O74" i="18"/>
  <c r="P74" i="18" s="1"/>
  <c r="X74" i="18" s="1"/>
  <c r="M74" i="18"/>
  <c r="Q74" i="18" s="1"/>
  <c r="R73" i="18"/>
  <c r="U73" i="18" s="1"/>
  <c r="V73" i="18" s="1"/>
  <c r="W73" i="18" s="1"/>
  <c r="K73" i="18"/>
  <c r="J73" i="18"/>
  <c r="G73" i="18"/>
  <c r="E73" i="18"/>
  <c r="V71" i="18"/>
  <c r="W71" i="18" s="1"/>
  <c r="R71" i="18"/>
  <c r="U71" i="18" s="1"/>
  <c r="P71" i="18"/>
  <c r="O71" i="18"/>
  <c r="M71" i="18"/>
  <c r="Q71" i="18" s="1"/>
  <c r="J71" i="18"/>
  <c r="X71" i="18" s="1"/>
  <c r="G71" i="18"/>
  <c r="E71" i="18"/>
  <c r="T69" i="18"/>
  <c r="R69" i="18"/>
  <c r="U69" i="18" s="1"/>
  <c r="V69" i="18" s="1"/>
  <c r="W69" i="18" s="1"/>
  <c r="X69" i="18" s="1"/>
  <c r="K69" i="18"/>
  <c r="J69" i="18"/>
  <c r="G69" i="18"/>
  <c r="E69" i="18"/>
  <c r="R68" i="18"/>
  <c r="G68" i="18"/>
  <c r="E68" i="18"/>
  <c r="T67" i="18"/>
  <c r="R67" i="18"/>
  <c r="U67" i="18" s="1"/>
  <c r="V67" i="18" s="1"/>
  <c r="W67" i="18" s="1"/>
  <c r="X67" i="18" s="1"/>
  <c r="G67" i="18"/>
  <c r="X65" i="18"/>
  <c r="U65" i="18"/>
  <c r="V65" i="18" s="1"/>
  <c r="W65" i="18" s="1"/>
  <c r="T65" i="18"/>
  <c r="R65" i="18"/>
  <c r="G65" i="18"/>
  <c r="E65" i="18"/>
  <c r="R63" i="18"/>
  <c r="G63" i="18"/>
  <c r="T62" i="18"/>
  <c r="R62" i="18"/>
  <c r="U62" i="18" s="1"/>
  <c r="V62" i="18" s="1"/>
  <c r="W62" i="18" s="1"/>
  <c r="X62" i="18" s="1"/>
  <c r="G62" i="18"/>
  <c r="R60" i="18"/>
  <c r="U60" i="18" s="1"/>
  <c r="V60" i="18" s="1"/>
  <c r="W60" i="18" s="1"/>
  <c r="X60" i="18" s="1"/>
  <c r="G60" i="18"/>
  <c r="E60" i="18"/>
  <c r="U59" i="18"/>
  <c r="T59" i="18"/>
  <c r="R59" i="18"/>
  <c r="M59" i="18"/>
  <c r="G59" i="18"/>
  <c r="E59" i="18"/>
  <c r="R58" i="18"/>
  <c r="U58" i="18" s="1"/>
  <c r="V58" i="18" s="1"/>
  <c r="W58" i="18" s="1"/>
  <c r="O58" i="18"/>
  <c r="P58" i="18" s="1"/>
  <c r="X58" i="18" s="1"/>
  <c r="M58" i="18"/>
  <c r="Q58" i="18" s="1"/>
  <c r="G58" i="18"/>
  <c r="E58" i="18"/>
  <c r="R57" i="18"/>
  <c r="M57" i="18"/>
  <c r="O57" i="18" s="1"/>
  <c r="P57" i="18" s="1"/>
  <c r="G57" i="18"/>
  <c r="E57" i="18"/>
  <c r="R55" i="18"/>
  <c r="G55" i="18"/>
  <c r="E55" i="18"/>
  <c r="R53" i="18"/>
  <c r="M53" i="18"/>
  <c r="O53" i="18" s="1"/>
  <c r="P53" i="18" s="1"/>
  <c r="G53" i="18"/>
  <c r="E53" i="18"/>
  <c r="U51" i="18"/>
  <c r="V51" i="18" s="1"/>
  <c r="W51" i="18" s="1"/>
  <c r="R51" i="18"/>
  <c r="T51" i="18" s="1"/>
  <c r="O51" i="18"/>
  <c r="P51" i="18" s="1"/>
  <c r="M51" i="18"/>
  <c r="Q51" i="18" s="1"/>
  <c r="K51" i="18"/>
  <c r="J51" i="18"/>
  <c r="U50" i="18"/>
  <c r="V50" i="18" s="1"/>
  <c r="W50" i="18" s="1"/>
  <c r="R50" i="18"/>
  <c r="T50" i="18" s="1"/>
  <c r="Q50" i="18"/>
  <c r="M50" i="18"/>
  <c r="O50" i="18" s="1"/>
  <c r="R48" i="18"/>
  <c r="T48" i="18" s="1"/>
  <c r="K48" i="18"/>
  <c r="J48" i="18"/>
  <c r="G48" i="18"/>
  <c r="E48" i="18"/>
  <c r="R46" i="18"/>
  <c r="T46" i="18" s="1"/>
  <c r="G46" i="18"/>
  <c r="E46" i="18"/>
  <c r="R45" i="18"/>
  <c r="G45" i="18"/>
  <c r="E45" i="18"/>
  <c r="K43" i="18"/>
  <c r="R43" i="18" s="1"/>
  <c r="J43" i="18"/>
  <c r="G43" i="18"/>
  <c r="E43" i="18"/>
  <c r="R42" i="18"/>
  <c r="K42" i="18"/>
  <c r="M42" i="18" s="1"/>
  <c r="J42" i="18"/>
  <c r="G42" i="18"/>
  <c r="E42" i="18"/>
  <c r="K41" i="18"/>
  <c r="R41" i="18" s="1"/>
  <c r="J41" i="18"/>
  <c r="G41" i="18"/>
  <c r="E41" i="18"/>
  <c r="K39" i="18"/>
  <c r="R39" i="18" s="1"/>
  <c r="J39" i="18"/>
  <c r="E39" i="18"/>
  <c r="V38" i="18"/>
  <c r="W38" i="18" s="1"/>
  <c r="X38" i="18" s="1"/>
  <c r="U38" i="18"/>
  <c r="T38" i="18"/>
  <c r="R38" i="18"/>
  <c r="G38" i="18"/>
  <c r="E38" i="18"/>
  <c r="R36" i="18"/>
  <c r="G36" i="18"/>
  <c r="E36" i="18"/>
  <c r="K35" i="18"/>
  <c r="R35" i="18" s="1"/>
  <c r="J35" i="18"/>
  <c r="G35" i="18"/>
  <c r="E35" i="18"/>
  <c r="K33" i="18"/>
  <c r="J33" i="18"/>
  <c r="E33" i="18"/>
  <c r="U31" i="18"/>
  <c r="V31" i="18" s="1"/>
  <c r="W31" i="18" s="1"/>
  <c r="X31" i="18" s="1"/>
  <c r="T31" i="18"/>
  <c r="R31" i="18"/>
  <c r="P31" i="18"/>
  <c r="O31" i="18"/>
  <c r="M31" i="18"/>
  <c r="Q31" i="18" s="1"/>
  <c r="G31" i="18"/>
  <c r="E31" i="18"/>
  <c r="U30" i="18"/>
  <c r="V30" i="18" s="1"/>
  <c r="W30" i="18" s="1"/>
  <c r="X30" i="18" s="1"/>
  <c r="R30" i="18"/>
  <c r="T30" i="18" s="1"/>
  <c r="G30" i="18"/>
  <c r="E30" i="18"/>
  <c r="R28" i="18"/>
  <c r="U28" i="18" s="1"/>
  <c r="V28" i="18" s="1"/>
  <c r="W28" i="18" s="1"/>
  <c r="O28" i="18"/>
  <c r="P28" i="18" s="1"/>
  <c r="M28" i="18"/>
  <c r="Q28" i="18" s="1"/>
  <c r="K28" i="18"/>
  <c r="J28" i="18"/>
  <c r="R26" i="18"/>
  <c r="T26" i="18" s="1"/>
  <c r="G26" i="18"/>
  <c r="E26" i="18"/>
  <c r="R25" i="18"/>
  <c r="U25" i="18" s="1"/>
  <c r="V25" i="18" s="1"/>
  <c r="W25" i="18" s="1"/>
  <c r="K25" i="18"/>
  <c r="J25" i="18"/>
  <c r="G25" i="18"/>
  <c r="E25" i="18"/>
  <c r="U23" i="18"/>
  <c r="T23" i="18"/>
  <c r="R23" i="18"/>
  <c r="P23" i="18"/>
  <c r="O23" i="18"/>
  <c r="M23" i="18"/>
  <c r="Q23" i="18" s="1"/>
  <c r="K23" i="18"/>
  <c r="J23" i="18"/>
  <c r="R22" i="18"/>
  <c r="T22" i="18" s="1"/>
  <c r="Q22" i="18"/>
  <c r="M22" i="18"/>
  <c r="O22" i="18" s="1"/>
  <c r="P22" i="18" s="1"/>
  <c r="K22" i="18"/>
  <c r="J22" i="18"/>
  <c r="G22" i="18"/>
  <c r="E22" i="18"/>
  <c r="W20" i="18"/>
  <c r="X20" i="18" s="1"/>
  <c r="R20" i="18"/>
  <c r="U20" i="18" s="1"/>
  <c r="V20" i="18" s="1"/>
  <c r="G20" i="18"/>
  <c r="E20" i="18"/>
  <c r="U18" i="18"/>
  <c r="V18" i="18" s="1"/>
  <c r="W18" i="18" s="1"/>
  <c r="X18" i="18" s="1"/>
  <c r="T18" i="18"/>
  <c r="R18" i="18"/>
  <c r="K18" i="18"/>
  <c r="J18" i="18"/>
  <c r="R17" i="18"/>
  <c r="T17" i="18" s="1"/>
  <c r="L17" i="18"/>
  <c r="K17" i="18"/>
  <c r="M17" i="18" s="1"/>
  <c r="O17" i="18" s="1"/>
  <c r="P17" i="18" s="1"/>
  <c r="J17" i="18"/>
  <c r="U16" i="18"/>
  <c r="V16" i="18" s="1"/>
  <c r="W16" i="18" s="1"/>
  <c r="X16" i="18" s="1"/>
  <c r="T16" i="18"/>
  <c r="R16" i="18"/>
  <c r="G16" i="18"/>
  <c r="E16" i="18"/>
  <c r="T15" i="18"/>
  <c r="R15" i="18"/>
  <c r="U15" i="18" s="1"/>
  <c r="V15" i="18" s="1"/>
  <c r="W15" i="18" s="1"/>
  <c r="X15" i="18" s="1"/>
  <c r="Q15" i="18"/>
  <c r="O15" i="18"/>
  <c r="P15" i="18" s="1"/>
  <c r="M15" i="18"/>
  <c r="G15" i="18"/>
  <c r="E15" i="18"/>
  <c r="X14" i="18"/>
  <c r="V14" i="18"/>
  <c r="W14" i="18" s="1"/>
  <c r="U14" i="18"/>
  <c r="T14" i="18"/>
  <c r="R14" i="18"/>
  <c r="G14" i="18"/>
  <c r="E14" i="18"/>
  <c r="T13" i="18"/>
  <c r="R13" i="18"/>
  <c r="U13" i="18" s="1"/>
  <c r="V13" i="18" s="1"/>
  <c r="W13" i="18" s="1"/>
  <c r="X13" i="18" s="1"/>
  <c r="G13" i="18"/>
  <c r="E13" i="18"/>
  <c r="U11" i="18"/>
  <c r="V11" i="18" s="1"/>
  <c r="W11" i="18" s="1"/>
  <c r="X11" i="18" s="1"/>
  <c r="T11" i="18"/>
  <c r="R11" i="18"/>
  <c r="G11" i="18"/>
  <c r="E11" i="18"/>
  <c r="T10" i="18"/>
  <c r="R10" i="18"/>
  <c r="U10" i="18" s="1"/>
  <c r="O10" i="18"/>
  <c r="M10" i="18"/>
  <c r="Q10" i="18" s="1"/>
  <c r="G10" i="18"/>
  <c r="E10" i="18"/>
  <c r="C56" i="17"/>
  <c r="C55" i="17"/>
  <c r="C54" i="17"/>
  <c r="C53" i="17"/>
  <c r="E43" i="17"/>
  <c r="C43" i="17"/>
  <c r="E30" i="17"/>
  <c r="E32" i="17" s="1"/>
  <c r="E34" i="17" s="1"/>
  <c r="J16" i="17"/>
  <c r="E41" i="17" s="1"/>
  <c r="E45" i="17" s="1"/>
  <c r="H14" i="17"/>
  <c r="I14" i="17" s="1"/>
  <c r="I12" i="17"/>
  <c r="H12" i="17"/>
  <c r="I10" i="17"/>
  <c r="H8" i="17"/>
  <c r="F20" i="16"/>
  <c r="G20" i="16" s="1"/>
  <c r="F19" i="16"/>
  <c r="G19" i="16" s="1"/>
  <c r="G21" i="16" s="1"/>
  <c r="G7" i="16"/>
  <c r="F7" i="16"/>
  <c r="C232" i="15"/>
  <c r="E227" i="15"/>
  <c r="C227" i="15"/>
  <c r="E222" i="15"/>
  <c r="Y214" i="15"/>
  <c r="I212" i="15"/>
  <c r="W212" i="15" s="1"/>
  <c r="I211" i="15"/>
  <c r="W211" i="15" s="1"/>
  <c r="W210" i="15"/>
  <c r="I210" i="15"/>
  <c r="W209" i="15"/>
  <c r="W214" i="15" s="1"/>
  <c r="I209" i="15"/>
  <c r="I208" i="15"/>
  <c r="W208" i="15" s="1"/>
  <c r="AA207" i="15"/>
  <c r="AC207" i="15" s="1"/>
  <c r="W207" i="15"/>
  <c r="W206" i="15"/>
  <c r="I206" i="15"/>
  <c r="W205" i="15"/>
  <c r="I205" i="15"/>
  <c r="W204" i="15"/>
  <c r="I204" i="15"/>
  <c r="Y199" i="15"/>
  <c r="W197" i="15"/>
  <c r="I197" i="15"/>
  <c r="W196" i="15"/>
  <c r="I196" i="15"/>
  <c r="W195" i="15"/>
  <c r="I195" i="15"/>
  <c r="W194" i="15"/>
  <c r="I194" i="15"/>
  <c r="W193" i="15"/>
  <c r="I193" i="15"/>
  <c r="W192" i="15"/>
  <c r="W191" i="15"/>
  <c r="I191" i="15"/>
  <c r="AA190" i="15"/>
  <c r="AC190" i="15" s="1"/>
  <c r="I190" i="15"/>
  <c r="W190" i="15" s="1"/>
  <c r="I189" i="15"/>
  <c r="W189" i="15" s="1"/>
  <c r="O176" i="15"/>
  <c r="U176" i="15" s="1"/>
  <c r="K176" i="15"/>
  <c r="I176" i="15"/>
  <c r="O175" i="15"/>
  <c r="U175" i="15" s="1"/>
  <c r="I175" i="15"/>
  <c r="K175" i="15" s="1"/>
  <c r="U174" i="15"/>
  <c r="O174" i="15"/>
  <c r="M174" i="15"/>
  <c r="S174" i="15" s="1"/>
  <c r="K174" i="15"/>
  <c r="I174" i="15"/>
  <c r="U173" i="15"/>
  <c r="O173" i="15"/>
  <c r="M173" i="15"/>
  <c r="S173" i="15" s="1"/>
  <c r="K173" i="15"/>
  <c r="I173" i="15"/>
  <c r="S171" i="15"/>
  <c r="O171" i="15"/>
  <c r="U171" i="15" s="1"/>
  <c r="M171" i="15"/>
  <c r="I171" i="15"/>
  <c r="K171" i="15" s="1"/>
  <c r="M170" i="15"/>
  <c r="S170" i="15" s="1"/>
  <c r="I170" i="15"/>
  <c r="K170" i="15" s="1"/>
  <c r="M169" i="15"/>
  <c r="S169" i="15" s="1"/>
  <c r="K169" i="15"/>
  <c r="I169" i="15"/>
  <c r="M168" i="15"/>
  <c r="S168" i="15" s="1"/>
  <c r="I168" i="15"/>
  <c r="K168" i="15" s="1"/>
  <c r="M167" i="15"/>
  <c r="S167" i="15" s="1"/>
  <c r="I167" i="15"/>
  <c r="K167" i="15" s="1"/>
  <c r="U164" i="15"/>
  <c r="S164" i="15"/>
  <c r="O164" i="15"/>
  <c r="M164" i="15"/>
  <c r="I164" i="15"/>
  <c r="K164" i="15" s="1"/>
  <c r="U163" i="15"/>
  <c r="S163" i="15"/>
  <c r="O163" i="15"/>
  <c r="M163" i="15"/>
  <c r="K163" i="15"/>
  <c r="I163" i="15"/>
  <c r="U162" i="15"/>
  <c r="S162" i="15"/>
  <c r="O162" i="15"/>
  <c r="M162" i="15"/>
  <c r="I162" i="15"/>
  <c r="K162" i="15" s="1"/>
  <c r="O161" i="15"/>
  <c r="U161" i="15" s="1"/>
  <c r="M161" i="15"/>
  <c r="S161" i="15" s="1"/>
  <c r="I161" i="15"/>
  <c r="K161" i="15" s="1"/>
  <c r="S160" i="15"/>
  <c r="O160" i="15"/>
  <c r="U160" i="15" s="1"/>
  <c r="M160" i="15"/>
  <c r="I160" i="15"/>
  <c r="K160" i="15" s="1"/>
  <c r="O158" i="15"/>
  <c r="U158" i="15" s="1"/>
  <c r="I158" i="15"/>
  <c r="K158" i="15" s="1"/>
  <c r="O157" i="15"/>
  <c r="U157" i="15" s="1"/>
  <c r="K157" i="15"/>
  <c r="I157" i="15"/>
  <c r="U156" i="15"/>
  <c r="O156" i="15"/>
  <c r="K156" i="15"/>
  <c r="I156" i="15"/>
  <c r="U155" i="15"/>
  <c r="O155" i="15"/>
  <c r="I155" i="15"/>
  <c r="K155" i="15" s="1"/>
  <c r="O154" i="15"/>
  <c r="U154" i="15" s="1"/>
  <c r="K154" i="15"/>
  <c r="I154" i="15"/>
  <c r="S153" i="15"/>
  <c r="M153" i="15"/>
  <c r="I153" i="15"/>
  <c r="K153" i="15" s="1"/>
  <c r="S152" i="15"/>
  <c r="M152" i="15"/>
  <c r="K152" i="15"/>
  <c r="I152" i="15"/>
  <c r="U150" i="15"/>
  <c r="Q150" i="15"/>
  <c r="Q177" i="15" s="1"/>
  <c r="O150" i="15"/>
  <c r="M150" i="15"/>
  <c r="I150" i="15"/>
  <c r="AQ149" i="15"/>
  <c r="Q149" i="15"/>
  <c r="O149" i="15"/>
  <c r="M149" i="15"/>
  <c r="S149" i="15" s="1"/>
  <c r="K149" i="15"/>
  <c r="I149" i="15"/>
  <c r="E124" i="15"/>
  <c r="E123" i="15"/>
  <c r="E122" i="15"/>
  <c r="E121" i="15"/>
  <c r="E120" i="15"/>
  <c r="E119" i="15"/>
  <c r="E118" i="15"/>
  <c r="E117" i="15"/>
  <c r="Q116" i="15"/>
  <c r="C245" i="15" s="1"/>
  <c r="K116" i="15"/>
  <c r="E116" i="15"/>
  <c r="K110" i="15"/>
  <c r="W110" i="15" s="1"/>
  <c r="K109" i="15"/>
  <c r="W109" i="15" s="1"/>
  <c r="K108" i="15"/>
  <c r="W108" i="15" s="1"/>
  <c r="K107" i="15"/>
  <c r="W107" i="15" s="1"/>
  <c r="K106" i="15"/>
  <c r="W106" i="15" s="1"/>
  <c r="W105" i="15"/>
  <c r="S105" i="15"/>
  <c r="K105" i="15"/>
  <c r="K104" i="15"/>
  <c r="W104" i="15" s="1"/>
  <c r="S103" i="15"/>
  <c r="K103" i="15"/>
  <c r="W103" i="15" s="1"/>
  <c r="W102" i="15"/>
  <c r="K102" i="15"/>
  <c r="S102" i="15" s="1"/>
  <c r="K101" i="15"/>
  <c r="K100" i="15"/>
  <c r="W100" i="15" s="1"/>
  <c r="W99" i="15"/>
  <c r="S99" i="15"/>
  <c r="K99" i="15"/>
  <c r="S98" i="15"/>
  <c r="K98" i="15"/>
  <c r="K97" i="15"/>
  <c r="S97" i="15" s="1"/>
  <c r="S96" i="15"/>
  <c r="K96" i="15"/>
  <c r="S95" i="15"/>
  <c r="K95" i="15"/>
  <c r="S94" i="15"/>
  <c r="K94" i="15"/>
  <c r="S93" i="15"/>
  <c r="K93" i="15"/>
  <c r="K92" i="15"/>
  <c r="S91" i="15"/>
  <c r="K91" i="15"/>
  <c r="W90" i="15"/>
  <c r="K90" i="15"/>
  <c r="O85" i="15"/>
  <c r="Q78" i="15"/>
  <c r="S78" i="15" s="1"/>
  <c r="U78" i="15" s="1"/>
  <c r="Q72" i="15"/>
  <c r="S72" i="15" s="1"/>
  <c r="U72" i="15" s="1"/>
  <c r="Q67" i="15"/>
  <c r="S67" i="15" s="1"/>
  <c r="U67" i="15" s="1"/>
  <c r="Q65" i="15"/>
  <c r="S65" i="15" s="1"/>
  <c r="U65" i="15" s="1"/>
  <c r="O58" i="15"/>
  <c r="Q58" i="15" s="1"/>
  <c r="S58" i="15" s="1"/>
  <c r="U58" i="15" s="1"/>
  <c r="W58" i="15" s="1"/>
  <c r="I58" i="15"/>
  <c r="I57" i="15"/>
  <c r="O57" i="15" s="1"/>
  <c r="Q57" i="15" s="1"/>
  <c r="S57" i="15" s="1"/>
  <c r="U57" i="15" s="1"/>
  <c r="W57" i="15" s="1"/>
  <c r="O56" i="15"/>
  <c r="Q56" i="15" s="1"/>
  <c r="S56" i="15" s="1"/>
  <c r="U56" i="15" s="1"/>
  <c r="W56" i="15" s="1"/>
  <c r="I56" i="15"/>
  <c r="U55" i="15"/>
  <c r="W55" i="15" s="1"/>
  <c r="I55" i="15"/>
  <c r="O55" i="15" s="1"/>
  <c r="Q55" i="15" s="1"/>
  <c r="S55" i="15" s="1"/>
  <c r="O53" i="15"/>
  <c r="Q53" i="15" s="1"/>
  <c r="S53" i="15" s="1"/>
  <c r="U53" i="15" s="1"/>
  <c r="W53" i="15" s="1"/>
  <c r="I53" i="15"/>
  <c r="I52" i="15"/>
  <c r="O52" i="15" s="1"/>
  <c r="Q52" i="15" s="1"/>
  <c r="S52" i="15" s="1"/>
  <c r="U52" i="15" s="1"/>
  <c r="W52" i="15" s="1"/>
  <c r="I51" i="15"/>
  <c r="O51" i="15" s="1"/>
  <c r="Q51" i="15" s="1"/>
  <c r="S51" i="15" s="1"/>
  <c r="U51" i="15" s="1"/>
  <c r="W51" i="15" s="1"/>
  <c r="Q50" i="15"/>
  <c r="S50" i="15" s="1"/>
  <c r="U50" i="15" s="1"/>
  <c r="W50" i="15" s="1"/>
  <c r="I50" i="15"/>
  <c r="O50" i="15" s="1"/>
  <c r="Q49" i="15"/>
  <c r="S49" i="15" s="1"/>
  <c r="U49" i="15" s="1"/>
  <c r="W49" i="15" s="1"/>
  <c r="I49" i="15"/>
  <c r="O49" i="15" s="1"/>
  <c r="Q46" i="15"/>
  <c r="S46" i="15" s="1"/>
  <c r="U46" i="15" s="1"/>
  <c r="W46" i="15" s="1"/>
  <c r="I46" i="15"/>
  <c r="O46" i="15" s="1"/>
  <c r="O45" i="15"/>
  <c r="Q45" i="15" s="1"/>
  <c r="S45" i="15" s="1"/>
  <c r="U45" i="15" s="1"/>
  <c r="W45" i="15" s="1"/>
  <c r="I45" i="15"/>
  <c r="W44" i="15"/>
  <c r="Q44" i="15"/>
  <c r="S44" i="15" s="1"/>
  <c r="U44" i="15" s="1"/>
  <c r="I44" i="15"/>
  <c r="O44" i="15" s="1"/>
  <c r="O43" i="15"/>
  <c r="Q43" i="15" s="1"/>
  <c r="S43" i="15" s="1"/>
  <c r="U43" i="15" s="1"/>
  <c r="W43" i="15" s="1"/>
  <c r="I43" i="15"/>
  <c r="I42" i="15"/>
  <c r="O42" i="15" s="1"/>
  <c r="Q42" i="15" s="1"/>
  <c r="S42" i="15" s="1"/>
  <c r="U42" i="15" s="1"/>
  <c r="W42" i="15" s="1"/>
  <c r="O40" i="15"/>
  <c r="Q40" i="15" s="1"/>
  <c r="S40" i="15" s="1"/>
  <c r="U40" i="15" s="1"/>
  <c r="W40" i="15" s="1"/>
  <c r="I40" i="15"/>
  <c r="I39" i="15"/>
  <c r="O39" i="15" s="1"/>
  <c r="Q39" i="15" s="1"/>
  <c r="S39" i="15" s="1"/>
  <c r="U39" i="15" s="1"/>
  <c r="W39" i="15" s="1"/>
  <c r="I38" i="15"/>
  <c r="O38" i="15" s="1"/>
  <c r="Q38" i="15" s="1"/>
  <c r="S38" i="15" s="1"/>
  <c r="U38" i="15" s="1"/>
  <c r="W38" i="15" s="1"/>
  <c r="S37" i="15"/>
  <c r="U37" i="15" s="1"/>
  <c r="W37" i="15" s="1"/>
  <c r="I37" i="15"/>
  <c r="O37" i="15" s="1"/>
  <c r="Q37" i="15" s="1"/>
  <c r="I36" i="15"/>
  <c r="O36" i="15" s="1"/>
  <c r="Q36" i="15" s="1"/>
  <c r="S36" i="15" s="1"/>
  <c r="U36" i="15" s="1"/>
  <c r="W36" i="15" s="1"/>
  <c r="O35" i="15"/>
  <c r="Q35" i="15" s="1"/>
  <c r="S35" i="15" s="1"/>
  <c r="U35" i="15" s="1"/>
  <c r="W35" i="15" s="1"/>
  <c r="I35" i="15"/>
  <c r="O34" i="15"/>
  <c r="Q34" i="15" s="1"/>
  <c r="S34" i="15" s="1"/>
  <c r="U34" i="15" s="1"/>
  <c r="W34" i="15" s="1"/>
  <c r="I34" i="15"/>
  <c r="Q33" i="15"/>
  <c r="S33" i="15" s="1"/>
  <c r="U33" i="15" s="1"/>
  <c r="W33" i="15" s="1"/>
  <c r="O33" i="15"/>
  <c r="I33" i="15"/>
  <c r="O31" i="15"/>
  <c r="Q31" i="15" s="1"/>
  <c r="S31" i="15" s="1"/>
  <c r="U31" i="15" s="1"/>
  <c r="W31" i="15" s="1"/>
  <c r="I31" i="15"/>
  <c r="O30" i="15"/>
  <c r="Q30" i="15" s="1"/>
  <c r="I30" i="15"/>
  <c r="K24" i="15"/>
  <c r="M24" i="15" s="1"/>
  <c r="I24" i="15"/>
  <c r="G24" i="15"/>
  <c r="I23" i="15"/>
  <c r="K23" i="15" s="1"/>
  <c r="M23" i="15" s="1"/>
  <c r="G23" i="15"/>
  <c r="G22" i="15"/>
  <c r="I22" i="15" s="1"/>
  <c r="K22" i="15" s="1"/>
  <c r="M22" i="15" s="1"/>
  <c r="I21" i="15"/>
  <c r="K21" i="15" s="1"/>
  <c r="M21" i="15" s="1"/>
  <c r="G21" i="15"/>
  <c r="M19" i="15"/>
  <c r="I19" i="15"/>
  <c r="K19" i="15" s="1"/>
  <c r="G19" i="15"/>
  <c r="K18" i="15"/>
  <c r="M18" i="15" s="1"/>
  <c r="I18" i="15"/>
  <c r="G18" i="15"/>
  <c r="I17" i="15"/>
  <c r="K17" i="15" s="1"/>
  <c r="M17" i="15" s="1"/>
  <c r="G17" i="15"/>
  <c r="G16" i="15"/>
  <c r="I16" i="15" s="1"/>
  <c r="K16" i="15" s="1"/>
  <c r="M16" i="15" s="1"/>
  <c r="I15" i="15"/>
  <c r="K15" i="15" s="1"/>
  <c r="M15" i="15" s="1"/>
  <c r="G15" i="15"/>
  <c r="M14" i="15"/>
  <c r="I14" i="15"/>
  <c r="K14" i="15" s="1"/>
  <c r="G14" i="15"/>
  <c r="K13" i="15"/>
  <c r="M13" i="15" s="1"/>
  <c r="I13" i="15"/>
  <c r="G13" i="15"/>
  <c r="I12" i="15"/>
  <c r="K12" i="15" s="1"/>
  <c r="M12" i="15" s="1"/>
  <c r="G12" i="15"/>
  <c r="M11" i="15"/>
  <c r="G11" i="15"/>
  <c r="I11" i="15" s="1"/>
  <c r="K11" i="15" s="1"/>
  <c r="Z9" i="15"/>
  <c r="G9" i="15"/>
  <c r="I9" i="15" s="1"/>
  <c r="K9" i="15" s="1"/>
  <c r="M9" i="15" s="1"/>
  <c r="Z8" i="15"/>
  <c r="AA206" i="15" s="1"/>
  <c r="AC206" i="15" s="1"/>
  <c r="M8" i="15"/>
  <c r="G8" i="15"/>
  <c r="I8" i="15" s="1"/>
  <c r="K8" i="15" s="1"/>
  <c r="Z7" i="15"/>
  <c r="AA196" i="15" s="1"/>
  <c r="AC196" i="15" s="1"/>
  <c r="G7" i="15"/>
  <c r="I7" i="15" s="1"/>
  <c r="K7" i="15" s="1"/>
  <c r="M7" i="15" s="1"/>
  <c r="Z6" i="15"/>
  <c r="G6" i="15"/>
  <c r="J8" i="14"/>
  <c r="I8" i="14"/>
  <c r="I7" i="14"/>
  <c r="G7" i="14"/>
  <c r="M13" i="13"/>
  <c r="G13" i="13"/>
  <c r="K13" i="13" s="1"/>
  <c r="L13" i="13" s="1"/>
  <c r="M11" i="13"/>
  <c r="M15" i="13" s="1"/>
  <c r="E107" i="1" s="1"/>
  <c r="K11" i="13"/>
  <c r="L11" i="13" s="1"/>
  <c r="G11" i="13"/>
  <c r="M9" i="13"/>
  <c r="K9" i="13"/>
  <c r="L9" i="13" s="1"/>
  <c r="G9" i="13"/>
  <c r="D42" i="12"/>
  <c r="J27" i="12"/>
  <c r="L27" i="12" s="1"/>
  <c r="D50" i="12" s="1"/>
  <c r="H22" i="12"/>
  <c r="L17" i="12"/>
  <c r="J17" i="12" s="1"/>
  <c r="L16" i="12"/>
  <c r="J16" i="12" s="1"/>
  <c r="H16" i="12"/>
  <c r="J12" i="12"/>
  <c r="J11" i="12"/>
  <c r="H11" i="12" s="1"/>
  <c r="P9" i="12"/>
  <c r="P8" i="12"/>
  <c r="P7" i="12"/>
  <c r="J7" i="12"/>
  <c r="H7" i="12" s="1"/>
  <c r="P6" i="12"/>
  <c r="J6" i="12"/>
  <c r="H6" i="12" s="1"/>
  <c r="J5" i="12"/>
  <c r="H5" i="12" s="1"/>
  <c r="F66" i="11"/>
  <c r="H66" i="11" s="1"/>
  <c r="D43" i="11"/>
  <c r="F39" i="11"/>
  <c r="F43" i="11" s="1"/>
  <c r="E39" i="11"/>
  <c r="E43" i="11" s="1"/>
  <c r="D39" i="11"/>
  <c r="F25" i="11"/>
  <c r="F29" i="11" s="1"/>
  <c r="E25" i="11"/>
  <c r="D25" i="11"/>
  <c r="D29" i="11" s="1"/>
  <c r="G23" i="11"/>
  <c r="F17" i="11"/>
  <c r="E17" i="11"/>
  <c r="D17" i="11"/>
  <c r="G13" i="11"/>
  <c r="B66" i="11" s="1"/>
  <c r="J29" i="10"/>
  <c r="C63" i="10" s="1"/>
  <c r="J28" i="10"/>
  <c r="C62" i="10" s="1"/>
  <c r="H28" i="10"/>
  <c r="C55" i="10" s="1"/>
  <c r="J27" i="10"/>
  <c r="C61" i="10" s="1"/>
  <c r="J15" i="10"/>
  <c r="H15" i="10"/>
  <c r="L13" i="10"/>
  <c r="H13" i="10"/>
  <c r="J13" i="10" s="1"/>
  <c r="Q11" i="10"/>
  <c r="Q10" i="10"/>
  <c r="Q9" i="10"/>
  <c r="L9" i="10" s="1"/>
  <c r="D21" i="10" s="1"/>
  <c r="H9" i="10"/>
  <c r="Q8" i="10"/>
  <c r="L6" i="10"/>
  <c r="N6" i="10" s="1"/>
  <c r="D20" i="10" s="1"/>
  <c r="J6" i="10"/>
  <c r="C72" i="9"/>
  <c r="H70" i="9"/>
  <c r="E50" i="9"/>
  <c r="C50" i="9"/>
  <c r="E49" i="9"/>
  <c r="C49" i="9"/>
  <c r="E48" i="9"/>
  <c r="E33" i="9"/>
  <c r="E32" i="9"/>
  <c r="E31" i="9"/>
  <c r="E28" i="9"/>
  <c r="I27" i="9"/>
  <c r="E27" i="9"/>
  <c r="I26" i="9"/>
  <c r="I70" i="9" s="1"/>
  <c r="E26" i="9"/>
  <c r="I25" i="9"/>
  <c r="E25" i="9"/>
  <c r="I24" i="9"/>
  <c r="E8" i="9"/>
  <c r="M87" i="8"/>
  <c r="I87" i="8"/>
  <c r="K87" i="8" s="1"/>
  <c r="K86" i="8"/>
  <c r="M86" i="8" s="1"/>
  <c r="I86" i="8"/>
  <c r="I85" i="8"/>
  <c r="K85" i="8" s="1"/>
  <c r="I79" i="8"/>
  <c r="O79" i="8" s="1"/>
  <c r="Q79" i="8" s="1"/>
  <c r="S79" i="8" s="1"/>
  <c r="E73" i="1" s="1"/>
  <c r="O71" i="8"/>
  <c r="M71" i="8"/>
  <c r="K71" i="8"/>
  <c r="K70" i="8"/>
  <c r="M70" i="8" s="1"/>
  <c r="O70" i="8" s="1"/>
  <c r="E70" i="8"/>
  <c r="C70" i="8"/>
  <c r="K69" i="8"/>
  <c r="M69" i="8" s="1"/>
  <c r="O69" i="8" s="1"/>
  <c r="E69" i="8"/>
  <c r="C68" i="8"/>
  <c r="AA67" i="8"/>
  <c r="AC67" i="8" s="1"/>
  <c r="AE67" i="8" s="1"/>
  <c r="V67" i="8"/>
  <c r="X67" i="8" s="1"/>
  <c r="AG67" i="8" s="1"/>
  <c r="T67" i="8"/>
  <c r="O67" i="8"/>
  <c r="M67" i="8"/>
  <c r="K67" i="8"/>
  <c r="E67" i="8"/>
  <c r="C67" i="8"/>
  <c r="AE66" i="8"/>
  <c r="AA66" i="8"/>
  <c r="AC66" i="8" s="1"/>
  <c r="V66" i="8"/>
  <c r="X66" i="8" s="1"/>
  <c r="T66" i="8"/>
  <c r="O66" i="8"/>
  <c r="E66" i="8"/>
  <c r="K66" i="8" s="1"/>
  <c r="M66" i="8" s="1"/>
  <c r="C66" i="8"/>
  <c r="AG65" i="8"/>
  <c r="AA65" i="8"/>
  <c r="AC65" i="8" s="1"/>
  <c r="AE65" i="8" s="1"/>
  <c r="V65" i="8"/>
  <c r="X65" i="8" s="1"/>
  <c r="M65" i="8"/>
  <c r="O65" i="8" s="1"/>
  <c r="K65" i="8"/>
  <c r="E65" i="8"/>
  <c r="C65" i="8"/>
  <c r="T65" i="8" s="1"/>
  <c r="AC64" i="8"/>
  <c r="AE64" i="8" s="1"/>
  <c r="AA64" i="8"/>
  <c r="X64" i="8"/>
  <c r="C64" i="8"/>
  <c r="T64" i="8" s="1"/>
  <c r="V64" i="8" s="1"/>
  <c r="K63" i="8"/>
  <c r="M63" i="8" s="1"/>
  <c r="O63" i="8" s="1"/>
  <c r="E63" i="8"/>
  <c r="M62" i="8"/>
  <c r="O62" i="8" s="1"/>
  <c r="K62" i="8"/>
  <c r="E61" i="8"/>
  <c r="C61" i="8"/>
  <c r="O60" i="8"/>
  <c r="K60" i="8"/>
  <c r="M60" i="8" s="1"/>
  <c r="E60" i="8"/>
  <c r="C60" i="8"/>
  <c r="AA60" i="8" s="1"/>
  <c r="AC60" i="8" s="1"/>
  <c r="AE60" i="8" s="1"/>
  <c r="AA59" i="8"/>
  <c r="AC59" i="8" s="1"/>
  <c r="AE59" i="8" s="1"/>
  <c r="V59" i="8"/>
  <c r="X59" i="8" s="1"/>
  <c r="AG59" i="8" s="1"/>
  <c r="T59" i="8"/>
  <c r="O59" i="8"/>
  <c r="E65" i="1" s="1"/>
  <c r="M59" i="8"/>
  <c r="K59" i="8"/>
  <c r="E59" i="8"/>
  <c r="C59" i="8"/>
  <c r="C58" i="8"/>
  <c r="AE57" i="8"/>
  <c r="AA57" i="8"/>
  <c r="AC57" i="8" s="1"/>
  <c r="C57" i="8"/>
  <c r="C56" i="8"/>
  <c r="K55" i="8"/>
  <c r="M55" i="8" s="1"/>
  <c r="O55" i="8" s="1"/>
  <c r="E55" i="8"/>
  <c r="C55" i="8"/>
  <c r="I45" i="8"/>
  <c r="I42" i="8"/>
  <c r="K39" i="8"/>
  <c r="I39" i="8"/>
  <c r="K38" i="8"/>
  <c r="I38" i="8"/>
  <c r="K37" i="8"/>
  <c r="T36" i="8"/>
  <c r="M36" i="8"/>
  <c r="K36" i="8"/>
  <c r="T35" i="8"/>
  <c r="M35" i="8"/>
  <c r="K35" i="8"/>
  <c r="T34" i="8"/>
  <c r="M34" i="8"/>
  <c r="K34" i="8"/>
  <c r="T33" i="8"/>
  <c r="M33" i="8"/>
  <c r="K33" i="8"/>
  <c r="M32" i="8"/>
  <c r="K32" i="8"/>
  <c r="I28" i="8"/>
  <c r="I26" i="8"/>
  <c r="K26" i="8" s="1"/>
  <c r="E64" i="8" s="1"/>
  <c r="K64" i="8" s="1"/>
  <c r="M64" i="8" s="1"/>
  <c r="O64" i="8" s="1"/>
  <c r="E53" i="1" s="1"/>
  <c r="I25" i="8"/>
  <c r="K25" i="8" s="1"/>
  <c r="K24" i="8"/>
  <c r="M23" i="8"/>
  <c r="K23" i="8"/>
  <c r="M22" i="8"/>
  <c r="K22" i="8"/>
  <c r="M21" i="8"/>
  <c r="K21" i="8"/>
  <c r="M20" i="8"/>
  <c r="K20" i="8"/>
  <c r="M19" i="8"/>
  <c r="M26" i="8" s="1"/>
  <c r="K19" i="8"/>
  <c r="E14" i="8"/>
  <c r="C69" i="8" s="1"/>
  <c r="T69" i="8" s="1"/>
  <c r="V69" i="8" s="1"/>
  <c r="X69" i="8" s="1"/>
  <c r="E13" i="8"/>
  <c r="G11" i="8"/>
  <c r="E10" i="8"/>
  <c r="E9" i="8"/>
  <c r="C63" i="8" s="1"/>
  <c r="G5" i="8"/>
  <c r="D124" i="7"/>
  <c r="C124" i="7"/>
  <c r="D123" i="7"/>
  <c r="C123" i="7"/>
  <c r="D122" i="7"/>
  <c r="C122" i="7"/>
  <c r="D121" i="7"/>
  <c r="C121" i="7"/>
  <c r="D120" i="7"/>
  <c r="C120" i="7"/>
  <c r="D119" i="7"/>
  <c r="C119" i="7"/>
  <c r="D118" i="7"/>
  <c r="C118" i="7"/>
  <c r="D117" i="7"/>
  <c r="C117" i="7"/>
  <c r="D116" i="7"/>
  <c r="C116" i="7"/>
  <c r="D115" i="7"/>
  <c r="C115" i="7"/>
  <c r="D114" i="7"/>
  <c r="C114" i="7"/>
  <c r="D113" i="7"/>
  <c r="C113" i="7"/>
  <c r="D112" i="7"/>
  <c r="C112" i="7"/>
  <c r="D111" i="7"/>
  <c r="C111" i="7"/>
  <c r="D110" i="7"/>
  <c r="C110" i="7"/>
  <c r="D109" i="7"/>
  <c r="C109" i="7"/>
  <c r="D108" i="7"/>
  <c r="C108" i="7"/>
  <c r="D107" i="7"/>
  <c r="C107" i="7"/>
  <c r="D106" i="7"/>
  <c r="C106" i="7"/>
  <c r="D105" i="7"/>
  <c r="C105" i="7"/>
  <c r="D104" i="7"/>
  <c r="C104" i="7"/>
  <c r="D103" i="7"/>
  <c r="C103" i="7"/>
  <c r="D102" i="7"/>
  <c r="C102" i="7"/>
  <c r="F92" i="7"/>
  <c r="F91" i="7"/>
  <c r="F90" i="7"/>
  <c r="F89" i="7"/>
  <c r="F88" i="7"/>
  <c r="F87" i="7"/>
  <c r="F86" i="7"/>
  <c r="F85" i="7"/>
  <c r="F84" i="7"/>
  <c r="F83" i="7"/>
  <c r="F82" i="7"/>
  <c r="F81" i="7"/>
  <c r="F80" i="7"/>
  <c r="F79" i="7"/>
  <c r="F78" i="7"/>
  <c r="F77" i="7"/>
  <c r="F76" i="7"/>
  <c r="F75" i="7"/>
  <c r="F74" i="7"/>
  <c r="F73" i="7"/>
  <c r="F72" i="7"/>
  <c r="F71" i="7"/>
  <c r="F70" i="7"/>
  <c r="F61" i="7"/>
  <c r="F60" i="7"/>
  <c r="F59" i="7"/>
  <c r="F58" i="7"/>
  <c r="F57" i="7"/>
  <c r="F56" i="7"/>
  <c r="F55" i="7"/>
  <c r="F54" i="7"/>
  <c r="F53" i="7"/>
  <c r="F52" i="7"/>
  <c r="F51" i="7"/>
  <c r="F50" i="7"/>
  <c r="F49" i="7"/>
  <c r="F48" i="7"/>
  <c r="F47" i="7"/>
  <c r="F46" i="7"/>
  <c r="F45" i="7"/>
  <c r="F44" i="7"/>
  <c r="F43" i="7"/>
  <c r="F42" i="7"/>
  <c r="K41" i="7"/>
  <c r="F41" i="7"/>
  <c r="K40" i="7"/>
  <c r="F40" i="7"/>
  <c r="K39" i="7"/>
  <c r="F39" i="7"/>
  <c r="K38" i="7"/>
  <c r="F30" i="7"/>
  <c r="I30" i="7" s="1"/>
  <c r="J30" i="7" s="1"/>
  <c r="E123" i="7" s="1"/>
  <c r="F29" i="7"/>
  <c r="I29" i="7" s="1"/>
  <c r="J29" i="7" s="1"/>
  <c r="E122" i="7" s="1"/>
  <c r="F28" i="7"/>
  <c r="I28" i="7" s="1"/>
  <c r="J28" i="7" s="1"/>
  <c r="E121" i="7" s="1"/>
  <c r="F27" i="7"/>
  <c r="I27" i="7" s="1"/>
  <c r="J27" i="7" s="1"/>
  <c r="E120" i="7" s="1"/>
  <c r="F26" i="7"/>
  <c r="I26" i="7" s="1"/>
  <c r="J26" i="7" s="1"/>
  <c r="E119" i="7" s="1"/>
  <c r="F25" i="7"/>
  <c r="I25" i="7" s="1"/>
  <c r="J25" i="7" s="1"/>
  <c r="E118" i="7" s="1"/>
  <c r="F24" i="7"/>
  <c r="I24" i="7" s="1"/>
  <c r="J24" i="7" s="1"/>
  <c r="E117" i="7" s="1"/>
  <c r="F23" i="7"/>
  <c r="I23" i="7" s="1"/>
  <c r="J23" i="7" s="1"/>
  <c r="E116" i="7" s="1"/>
  <c r="F22" i="7"/>
  <c r="I22" i="7" s="1"/>
  <c r="J22" i="7" s="1"/>
  <c r="E115" i="7" s="1"/>
  <c r="F21" i="7"/>
  <c r="I21" i="7" s="1"/>
  <c r="J21" i="7" s="1"/>
  <c r="E114" i="7" s="1"/>
  <c r="F20" i="7"/>
  <c r="I20" i="7" s="1"/>
  <c r="J20" i="7" s="1"/>
  <c r="E113" i="7" s="1"/>
  <c r="F19" i="7"/>
  <c r="I19" i="7" s="1"/>
  <c r="J19" i="7" s="1"/>
  <c r="E112" i="7" s="1"/>
  <c r="F18" i="7"/>
  <c r="I18" i="7" s="1"/>
  <c r="J18" i="7" s="1"/>
  <c r="E111" i="7" s="1"/>
  <c r="F17" i="7"/>
  <c r="I17" i="7" s="1"/>
  <c r="J17" i="7" s="1"/>
  <c r="E110" i="7" s="1"/>
  <c r="F16" i="7"/>
  <c r="I16" i="7" s="1"/>
  <c r="J16" i="7" s="1"/>
  <c r="E109" i="7" s="1"/>
  <c r="F15" i="7"/>
  <c r="I15" i="7" s="1"/>
  <c r="J15" i="7" s="1"/>
  <c r="E108" i="7" s="1"/>
  <c r="F14" i="7"/>
  <c r="I14" i="7" s="1"/>
  <c r="J14" i="7" s="1"/>
  <c r="E107" i="7" s="1"/>
  <c r="F13" i="7"/>
  <c r="I13" i="7" s="1"/>
  <c r="J13" i="7" s="1"/>
  <c r="E106" i="7" s="1"/>
  <c r="F12" i="7"/>
  <c r="I12" i="7" s="1"/>
  <c r="J12" i="7" s="1"/>
  <c r="E105" i="7" s="1"/>
  <c r="F11" i="7"/>
  <c r="I11" i="7" s="1"/>
  <c r="J11" i="7" s="1"/>
  <c r="E104" i="7" s="1"/>
  <c r="F10" i="7"/>
  <c r="I10" i="7" s="1"/>
  <c r="J10" i="7" s="1"/>
  <c r="E103" i="7" s="1"/>
  <c r="F9" i="7"/>
  <c r="I9" i="7" s="1"/>
  <c r="J9" i="7" s="1"/>
  <c r="E102" i="7" s="1"/>
  <c r="C61" i="6"/>
  <c r="C60" i="6"/>
  <c r="C59" i="6"/>
  <c r="C58" i="6"/>
  <c r="D57" i="6"/>
  <c r="C57" i="6"/>
  <c r="C56" i="6"/>
  <c r="F55" i="6"/>
  <c r="C55" i="6"/>
  <c r="C54" i="6"/>
  <c r="E44" i="6"/>
  <c r="E43" i="6"/>
  <c r="E42" i="6"/>
  <c r="F41" i="6"/>
  <c r="G41" i="6" s="1"/>
  <c r="E58" i="6" s="1"/>
  <c r="E41" i="6"/>
  <c r="E40" i="6"/>
  <c r="E39" i="6"/>
  <c r="E38" i="6"/>
  <c r="F37" i="6"/>
  <c r="E37" i="6"/>
  <c r="G37" i="6" s="1"/>
  <c r="E29" i="6"/>
  <c r="G28" i="6"/>
  <c r="F60" i="6" s="1"/>
  <c r="F28" i="6"/>
  <c r="E28" i="6"/>
  <c r="F27" i="6"/>
  <c r="E27" i="6"/>
  <c r="G26" i="6"/>
  <c r="F58" i="6" s="1"/>
  <c r="F26" i="6"/>
  <c r="E26" i="6"/>
  <c r="F25" i="6"/>
  <c r="E25" i="6"/>
  <c r="E24" i="6"/>
  <c r="F23" i="6"/>
  <c r="G23" i="6" s="1"/>
  <c r="E23" i="6"/>
  <c r="E22" i="6"/>
  <c r="G14" i="6"/>
  <c r="D60" i="6" s="1"/>
  <c r="F14" i="6"/>
  <c r="G13" i="6"/>
  <c r="D59" i="6" s="1"/>
  <c r="F13" i="6"/>
  <c r="G12" i="6"/>
  <c r="D58" i="6" s="1"/>
  <c r="G58" i="6" s="1"/>
  <c r="F12" i="6"/>
  <c r="G11" i="6"/>
  <c r="F11" i="6"/>
  <c r="K10" i="6"/>
  <c r="F10" i="6"/>
  <c r="G10" i="6" s="1"/>
  <c r="D56" i="6" s="1"/>
  <c r="K9" i="6"/>
  <c r="F29" i="6" s="1"/>
  <c r="G29" i="6" s="1"/>
  <c r="F61" i="6" s="1"/>
  <c r="G9" i="6"/>
  <c r="D55" i="6" s="1"/>
  <c r="F9" i="6"/>
  <c r="K8" i="6"/>
  <c r="F40" i="6" s="1"/>
  <c r="G40" i="6" s="1"/>
  <c r="E57" i="6" s="1"/>
  <c r="G8" i="6"/>
  <c r="D54" i="6" s="1"/>
  <c r="F8" i="6"/>
  <c r="K7" i="6"/>
  <c r="E38" i="5"/>
  <c r="E37" i="5"/>
  <c r="E36" i="5"/>
  <c r="E35" i="5"/>
  <c r="E34" i="5"/>
  <c r="E33" i="5"/>
  <c r="E25" i="5"/>
  <c r="E24" i="5"/>
  <c r="E23" i="5"/>
  <c r="E22" i="5"/>
  <c r="E21" i="5"/>
  <c r="E20" i="5"/>
  <c r="F13" i="5"/>
  <c r="G13" i="5" s="1"/>
  <c r="C52" i="5" s="1"/>
  <c r="K12" i="5"/>
  <c r="F12" i="5"/>
  <c r="G12" i="5" s="1"/>
  <c r="K11" i="5"/>
  <c r="F11" i="5"/>
  <c r="G11" i="5" s="1"/>
  <c r="C50" i="5" s="1"/>
  <c r="K10" i="5"/>
  <c r="F10" i="5"/>
  <c r="G10" i="5" s="1"/>
  <c r="C49" i="5" s="1"/>
  <c r="K9" i="5"/>
  <c r="F9" i="5"/>
  <c r="G9" i="5" s="1"/>
  <c r="C48" i="5" s="1"/>
  <c r="P84" i="4"/>
  <c r="M84" i="4"/>
  <c r="C84" i="4"/>
  <c r="K68" i="4"/>
  <c r="T57" i="4"/>
  <c r="T84" i="4" s="1"/>
  <c r="R57" i="4"/>
  <c r="J57" i="4"/>
  <c r="J84" i="4" s="1"/>
  <c r="I57" i="4"/>
  <c r="I84" i="4" s="1"/>
  <c r="E57" i="4"/>
  <c r="E84" i="4" s="1"/>
  <c r="D57" i="4"/>
  <c r="D84" i="4" s="1"/>
  <c r="R50" i="4"/>
  <c r="Q50" i="4"/>
  <c r="Q57" i="4" s="1"/>
  <c r="Q84" i="4" s="1"/>
  <c r="M50" i="4"/>
  <c r="M57" i="4" s="1"/>
  <c r="K50" i="4"/>
  <c r="K57" i="4" s="1"/>
  <c r="K84" i="4" s="1"/>
  <c r="J50" i="4"/>
  <c r="I50" i="4"/>
  <c r="H50" i="4"/>
  <c r="H57" i="4" s="1"/>
  <c r="H84" i="4" s="1"/>
  <c r="G50" i="4"/>
  <c r="G57" i="4" s="1"/>
  <c r="G84" i="4" s="1"/>
  <c r="F50" i="4"/>
  <c r="F57" i="4" s="1"/>
  <c r="F84" i="4" s="1"/>
  <c r="E50" i="4"/>
  <c r="D50" i="4"/>
  <c r="C50" i="4"/>
  <c r="C57" i="4" s="1"/>
  <c r="T49" i="4"/>
  <c r="T50" i="4" s="1"/>
  <c r="S49" i="4"/>
  <c r="S50" i="4" s="1"/>
  <c r="S57" i="4" s="1"/>
  <c r="S84" i="4" s="1"/>
  <c r="R49" i="4"/>
  <c r="Q49" i="4"/>
  <c r="P49" i="4"/>
  <c r="P50" i="4" s="1"/>
  <c r="P57" i="4" s="1"/>
  <c r="O49" i="4"/>
  <c r="O50" i="4" s="1"/>
  <c r="O57" i="4" s="1"/>
  <c r="O84" i="4" s="1"/>
  <c r="N49" i="4"/>
  <c r="N50" i="4" s="1"/>
  <c r="N57" i="4" s="1"/>
  <c r="N84" i="4" s="1"/>
  <c r="M49" i="4"/>
  <c r="L49" i="4"/>
  <c r="L50" i="4" s="1"/>
  <c r="L57" i="4" s="1"/>
  <c r="L84" i="4" s="1"/>
  <c r="T38" i="4"/>
  <c r="O38" i="4"/>
  <c r="K38" i="4"/>
  <c r="J38" i="4"/>
  <c r="I38" i="4"/>
  <c r="E38" i="4"/>
  <c r="T31" i="4"/>
  <c r="S31" i="4"/>
  <c r="S38" i="4" s="1"/>
  <c r="R31" i="4"/>
  <c r="R38" i="4" s="1"/>
  <c r="Q31" i="4"/>
  <c r="Q38" i="4" s="1"/>
  <c r="P31" i="4"/>
  <c r="P38" i="4" s="1"/>
  <c r="O31" i="4"/>
  <c r="N31" i="4"/>
  <c r="N38" i="4" s="1"/>
  <c r="M31" i="4"/>
  <c r="M38" i="4" s="1"/>
  <c r="L31" i="4"/>
  <c r="L38" i="4" s="1"/>
  <c r="K31" i="4"/>
  <c r="J31" i="4"/>
  <c r="I31" i="4"/>
  <c r="H31" i="4"/>
  <c r="H38" i="4" s="1"/>
  <c r="G31" i="4"/>
  <c r="G38" i="4" s="1"/>
  <c r="F31" i="4"/>
  <c r="F38" i="4" s="1"/>
  <c r="E31" i="4"/>
  <c r="D31" i="4"/>
  <c r="D38" i="4" s="1"/>
  <c r="C31" i="4"/>
  <c r="C38" i="4" s="1"/>
  <c r="E126" i="3"/>
  <c r="J117" i="3"/>
  <c r="F117" i="3"/>
  <c r="J116" i="3"/>
  <c r="J115" i="3"/>
  <c r="F115" i="3" s="1"/>
  <c r="J114" i="3"/>
  <c r="E114" i="3"/>
  <c r="J102" i="3"/>
  <c r="H102" i="3"/>
  <c r="I102" i="3" s="1"/>
  <c r="F102" i="3"/>
  <c r="G102" i="3" s="1"/>
  <c r="I88" i="3"/>
  <c r="I87" i="3"/>
  <c r="I86" i="3"/>
  <c r="I85" i="3"/>
  <c r="I84" i="3"/>
  <c r="I83" i="3"/>
  <c r="I82" i="3"/>
  <c r="I81" i="3"/>
  <c r="I89" i="3" s="1"/>
  <c r="I91" i="3" s="1"/>
  <c r="C105" i="3" s="1"/>
  <c r="I74" i="3"/>
  <c r="I73" i="3"/>
  <c r="I72" i="3"/>
  <c r="I71" i="3"/>
  <c r="I75" i="3" s="1"/>
  <c r="I77" i="3" s="1"/>
  <c r="C104" i="3" s="1"/>
  <c r="F104" i="3" s="1"/>
  <c r="G104" i="3" s="1"/>
  <c r="H104" i="3" s="1"/>
  <c r="I104" i="3" s="1"/>
  <c r="I63" i="3"/>
  <c r="I59" i="3"/>
  <c r="I58" i="3"/>
  <c r="I53" i="3"/>
  <c r="I52" i="3"/>
  <c r="I51" i="3"/>
  <c r="I50" i="3"/>
  <c r="I54" i="3" s="1"/>
  <c r="I49" i="3"/>
  <c r="I46" i="3"/>
  <c r="I45" i="3"/>
  <c r="I44" i="3"/>
  <c r="I43" i="3"/>
  <c r="I42" i="3"/>
  <c r="I41" i="3"/>
  <c r="I40" i="3"/>
  <c r="I39" i="3"/>
  <c r="I47" i="3" s="1"/>
  <c r="I36" i="3"/>
  <c r="I35" i="3"/>
  <c r="I34" i="3"/>
  <c r="I33" i="3"/>
  <c r="I32" i="3"/>
  <c r="I31" i="3"/>
  <c r="I30" i="3"/>
  <c r="I29" i="3"/>
  <c r="I28" i="3"/>
  <c r="I27" i="3"/>
  <c r="I23" i="3"/>
  <c r="I22" i="3"/>
  <c r="I21" i="3"/>
  <c r="I20" i="3"/>
  <c r="I24" i="3" s="1"/>
  <c r="I17" i="3"/>
  <c r="I16" i="3"/>
  <c r="I15" i="3"/>
  <c r="I14" i="3"/>
  <c r="I13" i="3"/>
  <c r="I9" i="3"/>
  <c r="I8" i="3"/>
  <c r="I7" i="3"/>
  <c r="F295" i="2"/>
  <c r="F294" i="2"/>
  <c r="F293" i="2"/>
  <c r="F292" i="2"/>
  <c r="F283" i="2"/>
  <c r="C281" i="2"/>
  <c r="J279" i="2"/>
  <c r="J278" i="2"/>
  <c r="J277" i="2"/>
  <c r="J276" i="2"/>
  <c r="C261" i="2"/>
  <c r="K245" i="2"/>
  <c r="J245" i="2"/>
  <c r="K238" i="2"/>
  <c r="J238" i="2"/>
  <c r="F238" i="2"/>
  <c r="I237" i="2"/>
  <c r="I236" i="2"/>
  <c r="I235" i="2"/>
  <c r="I234" i="2"/>
  <c r="K231" i="2"/>
  <c r="J231" i="2"/>
  <c r="F231" i="2"/>
  <c r="I230" i="2"/>
  <c r="I229" i="2"/>
  <c r="K227" i="2"/>
  <c r="J227" i="2"/>
  <c r="F227" i="2"/>
  <c r="I226" i="2"/>
  <c r="I225" i="2"/>
  <c r="I222" i="2"/>
  <c r="F219" i="2"/>
  <c r="I218" i="2"/>
  <c r="I217" i="2"/>
  <c r="I214" i="2"/>
  <c r="F210" i="2"/>
  <c r="I209" i="2"/>
  <c r="I208" i="2"/>
  <c r="I210" i="2" s="1"/>
  <c r="I207" i="2"/>
  <c r="I206" i="2"/>
  <c r="I203" i="2"/>
  <c r="K200" i="2"/>
  <c r="J200" i="2"/>
  <c r="F200" i="2"/>
  <c r="I199" i="2"/>
  <c r="I198" i="2"/>
  <c r="I197" i="2"/>
  <c r="I196" i="2"/>
  <c r="I195" i="2"/>
  <c r="I194" i="2"/>
  <c r="I193" i="2"/>
  <c r="I192" i="2"/>
  <c r="F189" i="2"/>
  <c r="I188" i="2"/>
  <c r="I187" i="2"/>
  <c r="F185" i="2"/>
  <c r="I184" i="2"/>
  <c r="I183" i="2"/>
  <c r="K165" i="2"/>
  <c r="J165" i="2"/>
  <c r="F152" i="2"/>
  <c r="F147" i="2"/>
  <c r="I134" i="2"/>
  <c r="K125" i="2"/>
  <c r="K131" i="2" s="1"/>
  <c r="D307" i="2" s="1"/>
  <c r="J125" i="2"/>
  <c r="J131" i="2" s="1"/>
  <c r="F125" i="2"/>
  <c r="I124" i="2"/>
  <c r="I123" i="2"/>
  <c r="I122" i="2"/>
  <c r="I125" i="2" s="1"/>
  <c r="F120" i="2"/>
  <c r="I119" i="2"/>
  <c r="I118" i="2"/>
  <c r="I120" i="2" s="1"/>
  <c r="F114" i="2"/>
  <c r="I113" i="2"/>
  <c r="I112" i="2"/>
  <c r="I111" i="2"/>
  <c r="I108" i="2"/>
  <c r="F105" i="2"/>
  <c r="I104" i="2"/>
  <c r="I103" i="2"/>
  <c r="I105" i="2" s="1"/>
  <c r="F101" i="2"/>
  <c r="I100" i="2"/>
  <c r="I99" i="2"/>
  <c r="F97" i="2"/>
  <c r="K96" i="2"/>
  <c r="J96" i="2"/>
  <c r="I96" i="2"/>
  <c r="I95" i="2"/>
  <c r="I94" i="2"/>
  <c r="I93" i="2"/>
  <c r="I92" i="2"/>
  <c r="I97" i="2" s="1"/>
  <c r="I89" i="2"/>
  <c r="F86" i="2"/>
  <c r="I84" i="2"/>
  <c r="I83" i="2"/>
  <c r="I82" i="2"/>
  <c r="I81" i="2"/>
  <c r="I80" i="2"/>
  <c r="I79" i="2"/>
  <c r="I78" i="2"/>
  <c r="I77" i="2"/>
  <c r="I76" i="2"/>
  <c r="I85" i="2" s="1"/>
  <c r="I73" i="2"/>
  <c r="F73" i="2"/>
  <c r="I72" i="2"/>
  <c r="I71" i="2"/>
  <c r="F68" i="2"/>
  <c r="I67" i="2"/>
  <c r="I66" i="2"/>
  <c r="I68" i="2" s="1"/>
  <c r="K49" i="2"/>
  <c r="K43" i="2"/>
  <c r="J43" i="2"/>
  <c r="F43" i="2"/>
  <c r="I42" i="2"/>
  <c r="I41" i="2"/>
  <c r="K39" i="2"/>
  <c r="J39" i="2"/>
  <c r="F39" i="2"/>
  <c r="I38" i="2"/>
  <c r="I37" i="2"/>
  <c r="I36" i="2"/>
  <c r="K34" i="2"/>
  <c r="J34" i="2"/>
  <c r="F34" i="2"/>
  <c r="I33" i="2"/>
  <c r="I32" i="2"/>
  <c r="K30" i="2"/>
  <c r="J30" i="2"/>
  <c r="J49" i="2" s="1"/>
  <c r="C280" i="2" s="1"/>
  <c r="F30" i="2"/>
  <c r="I29" i="2"/>
  <c r="I28" i="2"/>
  <c r="K26" i="2"/>
  <c r="J26" i="2"/>
  <c r="I25" i="2"/>
  <c r="I24" i="2"/>
  <c r="K22" i="2"/>
  <c r="J22" i="2"/>
  <c r="F22" i="2"/>
  <c r="I21" i="2"/>
  <c r="I20" i="2"/>
  <c r="K17" i="2"/>
  <c r="J17" i="2"/>
  <c r="F17" i="2"/>
  <c r="I16" i="2"/>
  <c r="I15" i="2"/>
  <c r="I12" i="2"/>
  <c r="C194" i="1"/>
  <c r="C193" i="1"/>
  <c r="C192" i="1"/>
  <c r="C191" i="1"/>
  <c r="D178" i="1"/>
  <c r="D172" i="1"/>
  <c r="D167" i="1"/>
  <c r="D166" i="1"/>
  <c r="E165" i="1"/>
  <c r="D165" i="1" s="1"/>
  <c r="D161" i="1"/>
  <c r="D159" i="1"/>
  <c r="D154" i="1"/>
  <c r="D150" i="1"/>
  <c r="D149" i="1"/>
  <c r="E148" i="1"/>
  <c r="D144" i="1"/>
  <c r="D141" i="1"/>
  <c r="D140" i="1"/>
  <c r="D136" i="1"/>
  <c r="D134" i="1"/>
  <c r="D132" i="1"/>
  <c r="D129" i="1"/>
  <c r="D128" i="1"/>
  <c r="D127" i="1"/>
  <c r="D126" i="1" s="1"/>
  <c r="E126" i="1"/>
  <c r="D125" i="1"/>
  <c r="D124" i="1"/>
  <c r="D121" i="1"/>
  <c r="D120" i="1"/>
  <c r="D118" i="1" s="1"/>
  <c r="D119" i="1"/>
  <c r="E118" i="1"/>
  <c r="D116" i="1"/>
  <c r="D115" i="1"/>
  <c r="D112" i="1"/>
  <c r="D111" i="1"/>
  <c r="D110" i="1" s="1"/>
  <c r="E110" i="1"/>
  <c r="D109" i="1"/>
  <c r="D108" i="1"/>
  <c r="D105" i="1"/>
  <c r="D104" i="1"/>
  <c r="D101" i="1"/>
  <c r="D100" i="1"/>
  <c r="D97" i="1"/>
  <c r="D96" i="1"/>
  <c r="D92" i="1"/>
  <c r="D90" i="1"/>
  <c r="D88" i="1"/>
  <c r="D87" i="1"/>
  <c r="D86" i="1"/>
  <c r="D85" i="1" s="1"/>
  <c r="E85" i="1"/>
  <c r="E84" i="1"/>
  <c r="D84" i="1" s="1"/>
  <c r="E82" i="1"/>
  <c r="D75" i="1"/>
  <c r="D74" i="1"/>
  <c r="E67" i="1"/>
  <c r="D67" i="1" s="1"/>
  <c r="E66" i="1"/>
  <c r="D66" i="1"/>
  <c r="E59" i="1"/>
  <c r="D59" i="1" s="1"/>
  <c r="E58" i="1"/>
  <c r="D58" i="1" s="1"/>
  <c r="E57" i="1"/>
  <c r="D57" i="1" s="1"/>
  <c r="E56" i="1"/>
  <c r="E54" i="1"/>
  <c r="D54" i="1" s="1"/>
  <c r="E51" i="1"/>
  <c r="D51" i="1" s="1"/>
  <c r="E50" i="1"/>
  <c r="D50" i="1" s="1"/>
  <c r="E49" i="1"/>
  <c r="D49" i="1" s="1"/>
  <c r="D44" i="1"/>
  <c r="D28" i="1"/>
  <c r="D27" i="1"/>
  <c r="D26" i="1"/>
  <c r="E25" i="1"/>
  <c r="G60" i="7" l="1"/>
  <c r="H60" i="7" s="1"/>
  <c r="G123" i="7" s="1"/>
  <c r="G61" i="7"/>
  <c r="H61" i="7" s="1"/>
  <c r="G124" i="7" s="1"/>
  <c r="G55" i="7"/>
  <c r="H55" i="7" s="1"/>
  <c r="G118" i="7" s="1"/>
  <c r="H118" i="7" s="1"/>
  <c r="G50" i="7"/>
  <c r="H50" i="7" s="1"/>
  <c r="G113" i="7" s="1"/>
  <c r="G90" i="7"/>
  <c r="H90" i="7" s="1"/>
  <c r="F122" i="7" s="1"/>
  <c r="H122" i="7" s="1"/>
  <c r="G87" i="7"/>
  <c r="H87" i="7" s="1"/>
  <c r="F119" i="7" s="1"/>
  <c r="G74" i="7"/>
  <c r="H74" i="7" s="1"/>
  <c r="F106" i="7" s="1"/>
  <c r="G77" i="7"/>
  <c r="H77" i="7" s="1"/>
  <c r="F109" i="7" s="1"/>
  <c r="G84" i="7"/>
  <c r="H84" i="7" s="1"/>
  <c r="F116" i="7" s="1"/>
  <c r="H116" i="7" s="1"/>
  <c r="G91" i="7"/>
  <c r="H91" i="7" s="1"/>
  <c r="F123" i="7" s="1"/>
  <c r="H123" i="7" s="1"/>
  <c r="G88" i="7"/>
  <c r="H88" i="7" s="1"/>
  <c r="F120" i="7" s="1"/>
  <c r="G78" i="7"/>
  <c r="G72" i="7"/>
  <c r="H72" i="7" s="1"/>
  <c r="F104" i="7" s="1"/>
  <c r="G89" i="7"/>
  <c r="H89" i="7" s="1"/>
  <c r="F121" i="7" s="1"/>
  <c r="G75" i="7"/>
  <c r="H75" i="7" s="1"/>
  <c r="F107" i="7" s="1"/>
  <c r="G71" i="7"/>
  <c r="H71" i="7" s="1"/>
  <c r="F103" i="7" s="1"/>
  <c r="G92" i="7"/>
  <c r="H92" i="7" s="1"/>
  <c r="F124" i="7" s="1"/>
  <c r="H124" i="7" s="1"/>
  <c r="G76" i="7"/>
  <c r="H76" i="7" s="1"/>
  <c r="F108" i="7" s="1"/>
  <c r="G70" i="7"/>
  <c r="H70" i="7" s="1"/>
  <c r="F102" i="7" s="1"/>
  <c r="G86" i="7"/>
  <c r="H86" i="7" s="1"/>
  <c r="F118" i="7" s="1"/>
  <c r="G85" i="7"/>
  <c r="H85" i="7" s="1"/>
  <c r="F117" i="7" s="1"/>
  <c r="G82" i="7"/>
  <c r="H82" i="7" s="1"/>
  <c r="F114" i="7" s="1"/>
  <c r="G81" i="7"/>
  <c r="H81" i="7" s="1"/>
  <c r="F113" i="7" s="1"/>
  <c r="G79" i="7"/>
  <c r="H79" i="7" s="1"/>
  <c r="F111" i="7" s="1"/>
  <c r="E36" i="1"/>
  <c r="D36" i="1" s="1"/>
  <c r="C51" i="5"/>
  <c r="F24" i="5"/>
  <c r="G24" i="5" s="1"/>
  <c r="D52" i="5" s="1"/>
  <c r="F23" i="5"/>
  <c r="G23" i="5" s="1"/>
  <c r="D51" i="5" s="1"/>
  <c r="F20" i="5"/>
  <c r="G20" i="5" s="1"/>
  <c r="F25" i="5"/>
  <c r="G25" i="5" s="1"/>
  <c r="F22" i="5"/>
  <c r="G22" i="5" s="1"/>
  <c r="D50" i="5" s="1"/>
  <c r="F50" i="5" s="1"/>
  <c r="F21" i="5"/>
  <c r="G21" i="5" s="1"/>
  <c r="D49" i="5" s="1"/>
  <c r="F49" i="5" s="1"/>
  <c r="F34" i="5"/>
  <c r="G34" i="5" s="1"/>
  <c r="E49" i="5" s="1"/>
  <c r="F38" i="5"/>
  <c r="G38" i="5" s="1"/>
  <c r="E53" i="5" s="1"/>
  <c r="F35" i="5"/>
  <c r="G35" i="5" s="1"/>
  <c r="E50" i="5" s="1"/>
  <c r="F36" i="5"/>
  <c r="G36" i="5" s="1"/>
  <c r="E51" i="5" s="1"/>
  <c r="D56" i="1"/>
  <c r="D25" i="1"/>
  <c r="J22" i="12"/>
  <c r="L22" i="12" s="1"/>
  <c r="D48" i="12" s="1"/>
  <c r="E117" i="1" s="1"/>
  <c r="D38" i="12"/>
  <c r="E99" i="1" s="1"/>
  <c r="E98" i="1" s="1"/>
  <c r="E114" i="1"/>
  <c r="D117" i="1" a="1"/>
  <c r="D117" i="1" s="1"/>
  <c r="D114" i="1" s="1"/>
  <c r="D53" i="1"/>
  <c r="D73" i="1"/>
  <c r="D72" i="1" s="1"/>
  <c r="E72" i="1"/>
  <c r="D164" i="1"/>
  <c r="E48" i="1"/>
  <c r="C292" i="2"/>
  <c r="E280" i="2"/>
  <c r="D308" i="2"/>
  <c r="K168" i="2"/>
  <c r="D263" i="2" s="1"/>
  <c r="E263" i="2" s="1"/>
  <c r="F263" i="2" s="1"/>
  <c r="J104" i="3"/>
  <c r="D141" i="3"/>
  <c r="R85" i="4"/>
  <c r="J70" i="4"/>
  <c r="J74" i="4" s="1"/>
  <c r="J76" i="4" s="1"/>
  <c r="I64" i="4"/>
  <c r="H70" i="4"/>
  <c r="H74" i="4" s="1"/>
  <c r="H76" i="4" s="1"/>
  <c r="F70" i="4"/>
  <c r="F74" i="4" s="1"/>
  <c r="F76" i="4" s="1"/>
  <c r="E70" i="4"/>
  <c r="E74" i="4" s="1"/>
  <c r="E76" i="4" s="1"/>
  <c r="D70" i="4"/>
  <c r="C70" i="4"/>
  <c r="I70" i="4"/>
  <c r="G70" i="4"/>
  <c r="AG64" i="8"/>
  <c r="E55" i="1"/>
  <c r="D55" i="1" s="1"/>
  <c r="E40" i="1"/>
  <c r="D48" i="1"/>
  <c r="C116" i="3"/>
  <c r="I10" i="3"/>
  <c r="H113" i="7"/>
  <c r="AA61" i="8"/>
  <c r="AC61" i="8" s="1"/>
  <c r="AE61" i="8" s="1"/>
  <c r="K61" i="8"/>
  <c r="M61" i="8" s="1"/>
  <c r="O61" i="8" s="1"/>
  <c r="E77" i="1" s="1"/>
  <c r="T61" i="8"/>
  <c r="V61" i="8" s="1"/>
  <c r="X61" i="8" s="1"/>
  <c r="AG61" i="8" s="1"/>
  <c r="J17" i="10"/>
  <c r="L15" i="10"/>
  <c r="I114" i="2"/>
  <c r="D65" i="1"/>
  <c r="D64" i="1" s="1"/>
  <c r="E64" i="1"/>
  <c r="D107" i="1"/>
  <c r="D106" i="1" s="1"/>
  <c r="E106" i="1"/>
  <c r="C282" i="2"/>
  <c r="J168" i="2"/>
  <c r="C263" i="2" s="1"/>
  <c r="E281" i="2"/>
  <c r="C293" i="2"/>
  <c r="E54" i="6"/>
  <c r="D82" i="1"/>
  <c r="C117" i="3"/>
  <c r="F105" i="3"/>
  <c r="G105" i="3" s="1"/>
  <c r="H105" i="3" s="1"/>
  <c r="I105" i="3" s="1"/>
  <c r="AA56" i="8"/>
  <c r="AC56" i="8" s="1"/>
  <c r="AE56" i="8" s="1"/>
  <c r="E62" i="1" s="1"/>
  <c r="D62" i="1" s="1"/>
  <c r="T56" i="8"/>
  <c r="V56" i="8" s="1"/>
  <c r="X56" i="8" s="1"/>
  <c r="E56" i="8"/>
  <c r="K56" i="8" s="1"/>
  <c r="M56" i="8" s="1"/>
  <c r="O56" i="8" s="1"/>
  <c r="F27" i="9"/>
  <c r="F9" i="9"/>
  <c r="J70" i="9"/>
  <c r="K70" i="9" s="1"/>
  <c r="C85" i="9" s="1"/>
  <c r="F31" i="9"/>
  <c r="F28" i="9"/>
  <c r="F49" i="9"/>
  <c r="F48" i="9"/>
  <c r="D40" i="12"/>
  <c r="E123" i="1" s="1"/>
  <c r="T39" i="18"/>
  <c r="U39" i="18"/>
  <c r="V39" i="18" s="1"/>
  <c r="W39" i="18" s="1"/>
  <c r="F281" i="2"/>
  <c r="F280" i="2"/>
  <c r="F282" i="2"/>
  <c r="D148" i="1"/>
  <c r="D147" i="1" s="1"/>
  <c r="E147" i="1"/>
  <c r="I101" i="2"/>
  <c r="J250" i="2"/>
  <c r="G42" i="6"/>
  <c r="E59" i="6" s="1"/>
  <c r="G59" i="6" s="1"/>
  <c r="K250" i="2"/>
  <c r="K150" i="15"/>
  <c r="K177" i="15" s="1"/>
  <c r="G181" i="15" s="1"/>
  <c r="I177" i="15"/>
  <c r="W153" i="15" s="1"/>
  <c r="W154" i="15" s="1"/>
  <c r="O183" i="15" s="1"/>
  <c r="D306" i="2"/>
  <c r="D261" i="2"/>
  <c r="G44" i="6"/>
  <c r="E61" i="6" s="1"/>
  <c r="G61" i="6" s="1"/>
  <c r="E58" i="8"/>
  <c r="K58" i="8" s="1"/>
  <c r="M58" i="8" s="1"/>
  <c r="O58" i="8" s="1"/>
  <c r="AA58" i="8"/>
  <c r="AC58" i="8" s="1"/>
  <c r="AE58" i="8" s="1"/>
  <c r="T58" i="8"/>
  <c r="V58" i="8" s="1"/>
  <c r="X58" i="8" s="1"/>
  <c r="AG58" i="8" s="1"/>
  <c r="J31" i="7"/>
  <c r="AA55" i="8"/>
  <c r="AC55" i="8" s="1"/>
  <c r="AE55" i="8" s="1"/>
  <c r="E78" i="1" s="1"/>
  <c r="D78" i="1" s="1"/>
  <c r="T55" i="8"/>
  <c r="V55" i="8" s="1"/>
  <c r="X55" i="8" s="1"/>
  <c r="T57" i="8"/>
  <c r="V57" i="8" s="1"/>
  <c r="X57" i="8" s="1"/>
  <c r="AG57" i="8" s="1"/>
  <c r="E57" i="8"/>
  <c r="K57" i="8" s="1"/>
  <c r="M57" i="8" s="1"/>
  <c r="O57" i="8" s="1"/>
  <c r="AA68" i="8"/>
  <c r="AC68" i="8" s="1"/>
  <c r="AE68" i="8" s="1"/>
  <c r="E70" i="1" s="1"/>
  <c r="D70" i="1" s="1"/>
  <c r="T68" i="8"/>
  <c r="V68" i="8" s="1"/>
  <c r="X68" i="8" s="1"/>
  <c r="E68" i="8"/>
  <c r="K68" i="8" s="1"/>
  <c r="M68" i="8" s="1"/>
  <c r="O68" i="8" s="1"/>
  <c r="E69" i="1" s="1"/>
  <c r="F50" i="9"/>
  <c r="E164" i="1"/>
  <c r="P10" i="18"/>
  <c r="F39" i="6"/>
  <c r="G39" i="6" s="1"/>
  <c r="E56" i="6" s="1"/>
  <c r="G56" i="6" s="1"/>
  <c r="F42" i="6"/>
  <c r="F38" i="6"/>
  <c r="G38" i="6" s="1"/>
  <c r="F44" i="6"/>
  <c r="G25" i="6"/>
  <c r="F57" i="6" s="1"/>
  <c r="AG69" i="8"/>
  <c r="F8" i="9"/>
  <c r="F10" i="9" s="1"/>
  <c r="C82" i="9" s="1"/>
  <c r="F32" i="9"/>
  <c r="I60" i="3"/>
  <c r="I66" i="3" s="1"/>
  <c r="C103" i="3" s="1"/>
  <c r="F116" i="3"/>
  <c r="F114" i="3"/>
  <c r="G114" i="3" s="1"/>
  <c r="L17" i="10"/>
  <c r="D22" i="10" s="1"/>
  <c r="D19" i="10" s="1"/>
  <c r="S30" i="15"/>
  <c r="Q59" i="15"/>
  <c r="U42" i="18"/>
  <c r="T42" i="18"/>
  <c r="F126" i="3"/>
  <c r="G126" i="3" s="1"/>
  <c r="F127" i="3"/>
  <c r="G22" i="6"/>
  <c r="F43" i="6"/>
  <c r="G43" i="6" s="1"/>
  <c r="E60" i="6" s="1"/>
  <c r="G60" i="6" s="1"/>
  <c r="G53" i="7"/>
  <c r="H53" i="7" s="1"/>
  <c r="G116" i="7" s="1"/>
  <c r="G43" i="7"/>
  <c r="H43" i="7" s="1"/>
  <c r="G106" i="7" s="1"/>
  <c r="G56" i="7"/>
  <c r="H56" i="7" s="1"/>
  <c r="G119" i="7" s="1"/>
  <c r="G46" i="7"/>
  <c r="H46" i="7" s="1"/>
  <c r="G109" i="7" s="1"/>
  <c r="H109" i="7" s="1"/>
  <c r="G40" i="7"/>
  <c r="H40" i="7" s="1"/>
  <c r="G103" i="7" s="1"/>
  <c r="G59" i="7"/>
  <c r="H59" i="7" s="1"/>
  <c r="G122" i="7" s="1"/>
  <c r="G49" i="7"/>
  <c r="H49" i="7" s="1"/>
  <c r="G112" i="7" s="1"/>
  <c r="G52" i="7"/>
  <c r="H52" i="7" s="1"/>
  <c r="G115" i="7" s="1"/>
  <c r="G42" i="7"/>
  <c r="H42" i="7" s="1"/>
  <c r="G105" i="7" s="1"/>
  <c r="G58" i="7"/>
  <c r="H58" i="7" s="1"/>
  <c r="G121" i="7" s="1"/>
  <c r="G48" i="7"/>
  <c r="H48" i="7" s="1"/>
  <c r="G111" i="7" s="1"/>
  <c r="H111" i="7" s="1"/>
  <c r="G39" i="7"/>
  <c r="H39" i="7" s="1"/>
  <c r="G54" i="7"/>
  <c r="H54" i="7" s="1"/>
  <c r="G117" i="7" s="1"/>
  <c r="H117" i="7" s="1"/>
  <c r="G44" i="7"/>
  <c r="H44" i="7" s="1"/>
  <c r="G107" i="7" s="1"/>
  <c r="H107" i="7" s="1"/>
  <c r="G41" i="7"/>
  <c r="H41" i="7" s="1"/>
  <c r="G104" i="7" s="1"/>
  <c r="H104" i="7" s="1"/>
  <c r="G45" i="7"/>
  <c r="H45" i="7" s="1"/>
  <c r="G108" i="7" s="1"/>
  <c r="AA69" i="8"/>
  <c r="AC69" i="8" s="1"/>
  <c r="AE69" i="8" s="1"/>
  <c r="M85" i="8"/>
  <c r="M88" i="8" s="1"/>
  <c r="K88" i="8"/>
  <c r="F26" i="9"/>
  <c r="G43" i="11"/>
  <c r="E32" i="1"/>
  <c r="F128" i="3"/>
  <c r="G27" i="6"/>
  <c r="F59" i="6" s="1"/>
  <c r="G51" i="7"/>
  <c r="H51" i="7" s="1"/>
  <c r="G114" i="7" s="1"/>
  <c r="H114" i="7" s="1"/>
  <c r="G57" i="7"/>
  <c r="H57" i="7" s="1"/>
  <c r="G120" i="7" s="1"/>
  <c r="H78" i="7"/>
  <c r="F110" i="7" s="1"/>
  <c r="C60" i="10"/>
  <c r="G17" i="11"/>
  <c r="U43" i="18"/>
  <c r="V43" i="18" s="1"/>
  <c r="W43" i="18" s="1"/>
  <c r="X43" i="18" s="1"/>
  <c r="T43" i="18"/>
  <c r="Q59" i="18"/>
  <c r="O59" i="18"/>
  <c r="P59" i="18" s="1"/>
  <c r="T41" i="18"/>
  <c r="U41" i="18"/>
  <c r="V41" i="18" s="1"/>
  <c r="W41" i="18" s="1"/>
  <c r="X41" i="18" s="1"/>
  <c r="I37" i="3"/>
  <c r="G57" i="6"/>
  <c r="F129" i="3"/>
  <c r="G14" i="5"/>
  <c r="G47" i="7"/>
  <c r="H47" i="7" s="1"/>
  <c r="G110" i="7" s="1"/>
  <c r="M39" i="8"/>
  <c r="AG66" i="8"/>
  <c r="F24" i="6"/>
  <c r="G24" i="6" s="1"/>
  <c r="F56" i="6" s="1"/>
  <c r="L27" i="10"/>
  <c r="W111" i="15"/>
  <c r="AA91" i="15" s="1"/>
  <c r="U149" i="15"/>
  <c r="U177" i="15" s="1"/>
  <c r="O177" i="15"/>
  <c r="U36" i="18"/>
  <c r="V36" i="18" s="1"/>
  <c r="W36" i="18" s="1"/>
  <c r="X36" i="18" s="1"/>
  <c r="T36" i="18"/>
  <c r="W101" i="15"/>
  <c r="S101" i="15"/>
  <c r="U55" i="18"/>
  <c r="V55" i="18" s="1"/>
  <c r="W55" i="18" s="1"/>
  <c r="X55" i="18" s="1"/>
  <c r="T55" i="18"/>
  <c r="F33" i="5"/>
  <c r="G33" i="5" s="1"/>
  <c r="G15" i="6"/>
  <c r="T60" i="8"/>
  <c r="V60" i="8" s="1"/>
  <c r="X60" i="8" s="1"/>
  <c r="E34" i="9"/>
  <c r="F25" i="9"/>
  <c r="F34" i="9" s="1"/>
  <c r="C84" i="9" s="1"/>
  <c r="G29" i="11"/>
  <c r="F37" i="5"/>
  <c r="G37" i="5" s="1"/>
  <c r="F22" i="6"/>
  <c r="G73" i="7"/>
  <c r="H73" i="7" s="1"/>
  <c r="G83" i="7"/>
  <c r="H83" i="7" s="1"/>
  <c r="F115" i="7" s="1"/>
  <c r="L66" i="11"/>
  <c r="D39" i="12"/>
  <c r="E103" i="1" s="1"/>
  <c r="H12" i="12"/>
  <c r="G80" i="7"/>
  <c r="H80" i="7" s="1"/>
  <c r="F112" i="7" s="1"/>
  <c r="F33" i="9"/>
  <c r="H17" i="10"/>
  <c r="L15" i="13"/>
  <c r="K111" i="15"/>
  <c r="S92" i="15"/>
  <c r="S111" i="15" s="1"/>
  <c r="AA90" i="15" s="1"/>
  <c r="W150" i="15"/>
  <c r="U45" i="18"/>
  <c r="V45" i="18" s="1"/>
  <c r="W45" i="18" s="1"/>
  <c r="X45" i="18" s="1"/>
  <c r="T45" i="18"/>
  <c r="E51" i="9"/>
  <c r="L29" i="10"/>
  <c r="H29" i="10"/>
  <c r="C56" i="10" s="1"/>
  <c r="L28" i="10"/>
  <c r="H27" i="10"/>
  <c r="C54" i="10" s="1"/>
  <c r="C53" i="10" s="1"/>
  <c r="G25" i="15"/>
  <c r="I6" i="15"/>
  <c r="U68" i="18"/>
  <c r="V68" i="18" s="1"/>
  <c r="W68" i="18" s="1"/>
  <c r="X68" i="18" s="1"/>
  <c r="T68" i="18"/>
  <c r="E125" i="15"/>
  <c r="E127" i="15" s="1"/>
  <c r="O42" i="18"/>
  <c r="P42" i="18" s="1"/>
  <c r="Q42" i="18"/>
  <c r="O59" i="15"/>
  <c r="Q84" i="15"/>
  <c r="S84" i="15" s="1"/>
  <c r="U84" i="15" s="1"/>
  <c r="W199" i="15"/>
  <c r="E235" i="15"/>
  <c r="E146" i="1" s="1"/>
  <c r="D146" i="1" s="1"/>
  <c r="U17" i="18"/>
  <c r="R33" i="18"/>
  <c r="M33" i="18"/>
  <c r="U46" i="18"/>
  <c r="V46" i="18" s="1"/>
  <c r="W46" i="18" s="1"/>
  <c r="X46" i="18" s="1"/>
  <c r="U53" i="18"/>
  <c r="T53" i="18"/>
  <c r="Y43" i="19"/>
  <c r="AA43" i="19" s="1"/>
  <c r="C54" i="19" s="1"/>
  <c r="C53" i="19" s="1"/>
  <c r="E162" i="1" s="1"/>
  <c r="Q79" i="15"/>
  <c r="S79" i="15" s="1"/>
  <c r="U79" i="15" s="1"/>
  <c r="AA189" i="15"/>
  <c r="P50" i="18"/>
  <c r="X50" i="18" s="1"/>
  <c r="V80" i="18"/>
  <c r="V82" i="18" s="1"/>
  <c r="V85" i="18" s="1"/>
  <c r="Q57" i="18"/>
  <c r="D177" i="1"/>
  <c r="Q68" i="15"/>
  <c r="S68" i="15" s="1"/>
  <c r="U68" i="15" s="1"/>
  <c r="Q73" i="15"/>
  <c r="S73" i="15" s="1"/>
  <c r="U73" i="15" s="1"/>
  <c r="S100" i="15"/>
  <c r="S104" i="15"/>
  <c r="U116" i="15"/>
  <c r="Y116" i="15" s="1"/>
  <c r="AA208" i="15"/>
  <c r="AC208" i="15" s="1"/>
  <c r="AA212" i="15"/>
  <c r="AC212" i="15" s="1"/>
  <c r="H16" i="17"/>
  <c r="U22" i="18"/>
  <c r="V22" i="18" s="1"/>
  <c r="W22" i="18" s="1"/>
  <c r="V23" i="18"/>
  <c r="W23" i="18" s="1"/>
  <c r="T28" i="18"/>
  <c r="U57" i="18"/>
  <c r="V57" i="18" s="1"/>
  <c r="W57" i="18" s="1"/>
  <c r="X57" i="18" s="1"/>
  <c r="T57" i="18"/>
  <c r="X73" i="18"/>
  <c r="K76" i="18"/>
  <c r="K80" i="18" s="1"/>
  <c r="AA193" i="15"/>
  <c r="AC193" i="15" s="1"/>
  <c r="AA195" i="15"/>
  <c r="AC195" i="15" s="1"/>
  <c r="E228" i="15"/>
  <c r="AA194" i="15"/>
  <c r="AC194" i="15" s="1"/>
  <c r="Q80" i="15"/>
  <c r="S80" i="15" s="1"/>
  <c r="U80" i="15" s="1"/>
  <c r="I8" i="17"/>
  <c r="I16" i="17" s="1"/>
  <c r="I18" i="17" s="1"/>
  <c r="I20" i="17" s="1"/>
  <c r="U26" i="18"/>
  <c r="V26" i="18" s="1"/>
  <c r="W26" i="18" s="1"/>
  <c r="X26" i="18" s="1"/>
  <c r="X39" i="18"/>
  <c r="Q64" i="15"/>
  <c r="S150" i="15"/>
  <c r="S177" i="15" s="1"/>
  <c r="M177" i="15"/>
  <c r="AA197" i="15"/>
  <c r="AC197" i="15" s="1"/>
  <c r="AA209" i="15"/>
  <c r="AC209" i="15" s="1"/>
  <c r="E229" i="15"/>
  <c r="J76" i="18"/>
  <c r="X23" i="18"/>
  <c r="X25" i="18"/>
  <c r="AI15" i="19"/>
  <c r="AA15" i="19"/>
  <c r="AG15" i="19" s="1"/>
  <c r="AK15" i="19" s="1"/>
  <c r="AM15" i="19" s="1"/>
  <c r="C52" i="19" s="1"/>
  <c r="Q71" i="15"/>
  <c r="S71" i="15" s="1"/>
  <c r="U71" i="15" s="1"/>
  <c r="Q77" i="15"/>
  <c r="S77" i="15" s="1"/>
  <c r="U77" i="15" s="1"/>
  <c r="Q81" i="15"/>
  <c r="S81" i="15" s="1"/>
  <c r="U81" i="15" s="1"/>
  <c r="E230" i="15"/>
  <c r="V10" i="18"/>
  <c r="W10" i="18" s="1"/>
  <c r="X28" i="18"/>
  <c r="AA191" i="15"/>
  <c r="AC191" i="15" s="1"/>
  <c r="E231" i="15"/>
  <c r="E145" i="1" s="1"/>
  <c r="X22" i="18"/>
  <c r="X51" i="18"/>
  <c r="V59" i="18"/>
  <c r="W59" i="18" s="1"/>
  <c r="E234" i="15"/>
  <c r="AA211" i="15"/>
  <c r="AC211" i="15" s="1"/>
  <c r="E233" i="15"/>
  <c r="Q74" i="15"/>
  <c r="S74" i="15" s="1"/>
  <c r="U74" i="15" s="1"/>
  <c r="AA205" i="15"/>
  <c r="AC205" i="15" s="1"/>
  <c r="Q83" i="15"/>
  <c r="S83" i="15" s="1"/>
  <c r="U83" i="15" s="1"/>
  <c r="Q70" i="15"/>
  <c r="S70" i="15" s="1"/>
  <c r="U70" i="15" s="1"/>
  <c r="AA204" i="15"/>
  <c r="AA210" i="15"/>
  <c r="AC210" i="15" s="1"/>
  <c r="Q17" i="18"/>
  <c r="T25" i="18"/>
  <c r="U48" i="18"/>
  <c r="V48" i="18" s="1"/>
  <c r="W48" i="18" s="1"/>
  <c r="X48" i="18" s="1"/>
  <c r="AA192" i="15"/>
  <c r="AC192" i="15" s="1"/>
  <c r="E232" i="15"/>
  <c r="U35" i="18"/>
  <c r="V35" i="18" s="1"/>
  <c r="W35" i="18" s="1"/>
  <c r="X35" i="18" s="1"/>
  <c r="T35" i="18"/>
  <c r="Q53" i="18"/>
  <c r="U63" i="18"/>
  <c r="V63" i="18" s="1"/>
  <c r="W63" i="18" s="1"/>
  <c r="X63" i="18" s="1"/>
  <c r="T63" i="18"/>
  <c r="K81" i="18"/>
  <c r="O81" i="18"/>
  <c r="T20" i="18"/>
  <c r="T58" i="18"/>
  <c r="T60" i="18"/>
  <c r="T71" i="18"/>
  <c r="T73" i="18"/>
  <c r="H121" i="7" l="1"/>
  <c r="H108" i="7"/>
  <c r="H119" i="7"/>
  <c r="H106" i="7"/>
  <c r="H103" i="7"/>
  <c r="H115" i="7"/>
  <c r="H112" i="7"/>
  <c r="F51" i="5"/>
  <c r="D53" i="5"/>
  <c r="F53" i="5" s="1"/>
  <c r="E46" i="1"/>
  <c r="D46" i="1" s="1"/>
  <c r="D99" i="1"/>
  <c r="D98" i="1" s="1"/>
  <c r="D181" i="1"/>
  <c r="C35" i="10"/>
  <c r="C45" i="10"/>
  <c r="H110" i="7"/>
  <c r="F103" i="3"/>
  <c r="G103" i="3" s="1"/>
  <c r="C115" i="3"/>
  <c r="H120" i="7"/>
  <c r="Q76" i="18"/>
  <c r="C240" i="15"/>
  <c r="AC90" i="15"/>
  <c r="F105" i="7"/>
  <c r="H105" i="7" s="1"/>
  <c r="H93" i="7"/>
  <c r="E48" i="5"/>
  <c r="E33" i="1"/>
  <c r="G39" i="5"/>
  <c r="E163" i="1"/>
  <c r="D163" i="1" s="1"/>
  <c r="C58" i="19"/>
  <c r="S59" i="19"/>
  <c r="E37" i="1"/>
  <c r="E52" i="5"/>
  <c r="F52" i="5" s="1"/>
  <c r="E55" i="6"/>
  <c r="G55" i="6" s="1"/>
  <c r="G45" i="6"/>
  <c r="E41" i="1"/>
  <c r="D41" i="1" s="1"/>
  <c r="T76" i="18"/>
  <c r="V87" i="18" s="1"/>
  <c r="V89" i="18" s="1"/>
  <c r="M66" i="11"/>
  <c r="J66" i="11"/>
  <c r="C38" i="10"/>
  <c r="C48" i="10"/>
  <c r="AA199" i="15"/>
  <c r="AC189" i="15"/>
  <c r="AC199" i="15" s="1"/>
  <c r="C241" i="15"/>
  <c r="AC91" i="15"/>
  <c r="S59" i="15"/>
  <c r="U30" i="15"/>
  <c r="D69" i="1"/>
  <c r="Q183" i="15"/>
  <c r="S183" i="15" s="1"/>
  <c r="C249" i="15"/>
  <c r="Q33" i="18"/>
  <c r="O33" i="18"/>
  <c r="C47" i="10"/>
  <c r="C37" i="10"/>
  <c r="D35" i="12"/>
  <c r="D51" i="12" s="1"/>
  <c r="AG68" i="8"/>
  <c r="G26" i="5"/>
  <c r="D48" i="5"/>
  <c r="F48" i="5" s="1"/>
  <c r="F54" i="5" s="1"/>
  <c r="E34" i="1"/>
  <c r="D34" i="1" s="1"/>
  <c r="C246" i="15"/>
  <c r="I181" i="15"/>
  <c r="K181" i="15" s="1"/>
  <c r="E45" i="1"/>
  <c r="C307" i="2"/>
  <c r="E293" i="2"/>
  <c r="G293" i="2" s="1"/>
  <c r="E116" i="3"/>
  <c r="G116" i="3" s="1"/>
  <c r="F141" i="3" s="1"/>
  <c r="C128" i="3"/>
  <c r="D189" i="1"/>
  <c r="G281" i="2"/>
  <c r="D162" i="1"/>
  <c r="X10" i="18"/>
  <c r="D142" i="3"/>
  <c r="J105" i="3"/>
  <c r="D40" i="1"/>
  <c r="E52" i="1"/>
  <c r="F54" i="6"/>
  <c r="G54" i="6" s="1"/>
  <c r="G62" i="6" s="1"/>
  <c r="G30" i="6"/>
  <c r="E83" i="1"/>
  <c r="K6" i="15"/>
  <c r="I25" i="15"/>
  <c r="X59" i="18"/>
  <c r="C129" i="3"/>
  <c r="E117" i="3"/>
  <c r="G117" i="3" s="1"/>
  <c r="F142" i="3" s="1"/>
  <c r="C294" i="2"/>
  <c r="E282" i="2"/>
  <c r="G282" i="2" s="1"/>
  <c r="F308" i="2" s="1"/>
  <c r="C74" i="4"/>
  <c r="K70" i="4"/>
  <c r="G263" i="2"/>
  <c r="D52" i="1"/>
  <c r="AA214" i="15"/>
  <c r="AC204" i="15"/>
  <c r="AC214" i="15" s="1"/>
  <c r="V53" i="18"/>
  <c r="W53" i="18" s="1"/>
  <c r="X53" i="18" s="1"/>
  <c r="D103" i="1"/>
  <c r="D102" i="1" s="1"/>
  <c r="E102" i="1"/>
  <c r="E139" i="3"/>
  <c r="E126" i="15"/>
  <c r="K117" i="15" s="1"/>
  <c r="AG55" i="8"/>
  <c r="E79" i="1"/>
  <c r="D79" i="1" s="1"/>
  <c r="D309" i="2"/>
  <c r="D265" i="2"/>
  <c r="E265" i="2" s="1"/>
  <c r="F265" i="2" s="1"/>
  <c r="E61" i="1"/>
  <c r="AG56" i="8"/>
  <c r="E63" i="1"/>
  <c r="D63" i="1" s="1"/>
  <c r="G280" i="2"/>
  <c r="E122" i="1"/>
  <c r="D123" i="1"/>
  <c r="D122" i="1" s="1"/>
  <c r="E292" i="2"/>
  <c r="G292" i="2" s="1"/>
  <c r="C306" i="2"/>
  <c r="D32" i="1"/>
  <c r="E42" i="1"/>
  <c r="D42" i="1" s="1"/>
  <c r="U33" i="18"/>
  <c r="V33" i="18" s="1"/>
  <c r="W33" i="18" s="1"/>
  <c r="T33" i="18"/>
  <c r="AG60" i="8"/>
  <c r="E71" i="1"/>
  <c r="D71" i="1" s="1"/>
  <c r="G46" i="11"/>
  <c r="G48" i="11" s="1"/>
  <c r="E95" i="1" s="1"/>
  <c r="V42" i="18"/>
  <c r="W42" i="18" s="1"/>
  <c r="X42" i="18" s="1"/>
  <c r="D267" i="2"/>
  <c r="E261" i="2"/>
  <c r="E38" i="1"/>
  <c r="D38" i="1" s="1"/>
  <c r="F51" i="9"/>
  <c r="C83" i="9" s="1"/>
  <c r="C81" i="9" s="1"/>
  <c r="D77" i="1"/>
  <c r="E76" i="1"/>
  <c r="E189" i="1"/>
  <c r="C41" i="17"/>
  <c r="C45" i="17" s="1"/>
  <c r="E155" i="1" s="1"/>
  <c r="D155" i="1" s="1"/>
  <c r="C30" i="17"/>
  <c r="C32" i="17" s="1"/>
  <c r="C34" i="17" s="1"/>
  <c r="E153" i="1" s="1"/>
  <c r="F139" i="3"/>
  <c r="D145" i="1"/>
  <c r="D143" i="1" s="1"/>
  <c r="E143" i="1"/>
  <c r="S64" i="15"/>
  <c r="U64" i="15" s="1"/>
  <c r="Q85" i="15"/>
  <c r="S85" i="15" s="1"/>
  <c r="U85" i="15" s="1"/>
  <c r="E138" i="1" s="1"/>
  <c r="D138" i="1" s="1"/>
  <c r="K82" i="18"/>
  <c r="V17" i="18"/>
  <c r="W17" i="18" s="1"/>
  <c r="X17" i="18" s="1"/>
  <c r="C49" i="10"/>
  <c r="C39" i="10"/>
  <c r="G182" i="15"/>
  <c r="G183" i="15"/>
  <c r="I183" i="15" s="1"/>
  <c r="K183" i="15" s="1"/>
  <c r="H62" i="7"/>
  <c r="G102" i="7"/>
  <c r="H102" i="7" s="1"/>
  <c r="D310" i="2"/>
  <c r="C283" i="2"/>
  <c r="C265" i="2"/>
  <c r="H125" i="7" l="1"/>
  <c r="D39" i="1"/>
  <c r="D33" i="1"/>
  <c r="D31" i="1" s="1"/>
  <c r="E31" i="1"/>
  <c r="D76" i="1"/>
  <c r="D174" i="1" a="1"/>
  <c r="D174" i="1" s="1"/>
  <c r="D173" i="1" s="1"/>
  <c r="E173" i="1"/>
  <c r="E170" i="1" s="1"/>
  <c r="C141" i="3"/>
  <c r="E128" i="3"/>
  <c r="G128" i="3" s="1"/>
  <c r="E141" i="3" s="1"/>
  <c r="G141" i="3" s="1"/>
  <c r="D68" i="1"/>
  <c r="G139" i="3"/>
  <c r="G142" i="3"/>
  <c r="W30" i="15"/>
  <c r="W59" i="15" s="1"/>
  <c r="U59" i="15"/>
  <c r="V93" i="18"/>
  <c r="V95" i="18" s="1"/>
  <c r="V91" i="18"/>
  <c r="E294" i="2"/>
  <c r="G294" i="2" s="1"/>
  <c r="E308" i="2" s="1"/>
  <c r="G308" i="2" s="1"/>
  <c r="C308" i="2"/>
  <c r="E160" i="1"/>
  <c r="E43" i="1"/>
  <c r="D45" i="1"/>
  <c r="D43" i="1" s="1"/>
  <c r="C46" i="10"/>
  <c r="E115" i="3"/>
  <c r="G115" i="3" s="1"/>
  <c r="E23" i="1" s="1"/>
  <c r="D23" i="1" s="1"/>
  <c r="C127" i="3"/>
  <c r="H103" i="3"/>
  <c r="G106" i="3"/>
  <c r="F261" i="2"/>
  <c r="E267" i="2"/>
  <c r="F267" i="2" s="1"/>
  <c r="E60" i="1"/>
  <c r="E47" i="1" s="1"/>
  <c r="D61" i="1"/>
  <c r="D60" i="1" s="1"/>
  <c r="D190" i="1" s="1"/>
  <c r="D176" i="1"/>
  <c r="D175" i="1" s="1"/>
  <c r="E175" i="1"/>
  <c r="D160" i="1"/>
  <c r="P33" i="18"/>
  <c r="O76" i="18"/>
  <c r="O80" i="18"/>
  <c r="O82" i="18" s="1"/>
  <c r="O85" i="18" s="1"/>
  <c r="O87" i="18" s="1"/>
  <c r="C223" i="15"/>
  <c r="E223" i="15" s="1"/>
  <c r="C59" i="10"/>
  <c r="C52" i="10"/>
  <c r="D83" i="1"/>
  <c r="D81" i="1" s="1"/>
  <c r="E81" i="1"/>
  <c r="C36" i="10"/>
  <c r="G265" i="2"/>
  <c r="E18" i="1"/>
  <c r="C142" i="3"/>
  <c r="E129" i="3"/>
  <c r="G129" i="3" s="1"/>
  <c r="E142" i="3" s="1"/>
  <c r="F307" i="2"/>
  <c r="E91" i="1"/>
  <c r="D37" i="1"/>
  <c r="D35" i="1" s="1"/>
  <c r="E35" i="1"/>
  <c r="W149" i="15"/>
  <c r="W151" i="15" s="1"/>
  <c r="O116" i="15"/>
  <c r="C76" i="4"/>
  <c r="K74" i="4"/>
  <c r="G184" i="15"/>
  <c r="I182" i="15"/>
  <c r="K182" i="15" s="1"/>
  <c r="C295" i="2"/>
  <c r="E283" i="2"/>
  <c r="G283" i="2" s="1"/>
  <c r="K85" i="18"/>
  <c r="K83" i="18"/>
  <c r="D153" i="1"/>
  <c r="D152" i="1" s="1"/>
  <c r="E152" i="1"/>
  <c r="E306" i="2"/>
  <c r="E16" i="1"/>
  <c r="D16" i="1" s="1"/>
  <c r="E190" i="1"/>
  <c r="D171" i="1"/>
  <c r="K25" i="15"/>
  <c r="M6" i="15"/>
  <c r="M25" i="15" s="1"/>
  <c r="E68" i="1"/>
  <c r="F306" i="2"/>
  <c r="E15" i="1"/>
  <c r="D15" i="1" s="1"/>
  <c r="D180" i="1"/>
  <c r="D179" i="1" s="1"/>
  <c r="E179" i="1"/>
  <c r="E307" i="2"/>
  <c r="G307" i="2" s="1"/>
  <c r="E94" i="1"/>
  <c r="E93" i="1" s="1"/>
  <c r="E192" i="1" s="1"/>
  <c r="D95" i="1"/>
  <c r="D94" i="1" s="1"/>
  <c r="D93" i="1" s="1"/>
  <c r="D192" i="1" s="1"/>
  <c r="E39" i="1"/>
  <c r="E30" i="1" l="1"/>
  <c r="E188" i="1" s="1"/>
  <c r="D30" i="1"/>
  <c r="D188" i="1" s="1"/>
  <c r="D170" i="1"/>
  <c r="E80" i="1"/>
  <c r="E191" i="1" s="1"/>
  <c r="C220" i="15"/>
  <c r="E220" i="15" s="1"/>
  <c r="E137" i="1"/>
  <c r="I184" i="15"/>
  <c r="K184" i="15" s="1"/>
  <c r="C243" i="15"/>
  <c r="D47" i="1"/>
  <c r="B65" i="4"/>
  <c r="K76" i="4"/>
  <c r="G306" i="2"/>
  <c r="F309" i="2"/>
  <c r="E19" i="1"/>
  <c r="D19" i="1" s="1"/>
  <c r="G284" i="2"/>
  <c r="F310" i="2"/>
  <c r="S116" i="15"/>
  <c r="W116" i="15" s="1"/>
  <c r="C239" i="15"/>
  <c r="C238" i="15" s="1"/>
  <c r="D18" i="1"/>
  <c r="D91" i="1"/>
  <c r="D89" i="1" s="1"/>
  <c r="D80" i="1" s="1"/>
  <c r="D191" i="1" s="1"/>
  <c r="E89" i="1"/>
  <c r="C309" i="2"/>
  <c r="E295" i="2"/>
  <c r="G295" i="2" s="1"/>
  <c r="G261" i="2"/>
  <c r="G267" i="2" s="1"/>
  <c r="E14" i="1"/>
  <c r="C219" i="15"/>
  <c r="E133" i="1"/>
  <c r="O182" i="15"/>
  <c r="W156" i="15"/>
  <c r="O181" i="15" s="1"/>
  <c r="X33" i="18"/>
  <c r="P76" i="18"/>
  <c r="V99" i="18" s="1"/>
  <c r="V101" i="18" s="1"/>
  <c r="E157" i="1" s="1"/>
  <c r="I103" i="3"/>
  <c r="H106" i="3"/>
  <c r="C140" i="3"/>
  <c r="E127" i="3"/>
  <c r="G127" i="3" s="1"/>
  <c r="K87" i="18"/>
  <c r="V97" i="18"/>
  <c r="F140" i="3"/>
  <c r="F143" i="3" s="1"/>
  <c r="G118" i="3"/>
  <c r="C248" i="15" l="1"/>
  <c r="Q182" i="15"/>
  <c r="S182" i="15" s="1"/>
  <c r="E131" i="1"/>
  <c r="D133" i="1"/>
  <c r="D131" i="1" s="1"/>
  <c r="V104" i="18"/>
  <c r="E158" i="1"/>
  <c r="D158" i="1" s="1"/>
  <c r="R84" i="4"/>
  <c r="E29" i="1"/>
  <c r="D29" i="1" s="1"/>
  <c r="C224" i="15"/>
  <c r="E224" i="15" s="1"/>
  <c r="E219" i="15"/>
  <c r="E140" i="3"/>
  <c r="E143" i="3" s="1"/>
  <c r="G130" i="3"/>
  <c r="E24" i="1"/>
  <c r="D24" i="1" s="1"/>
  <c r="E13" i="1"/>
  <c r="D14" i="1"/>
  <c r="D13" i="1" s="1"/>
  <c r="E309" i="2"/>
  <c r="E20" i="1"/>
  <c r="G296" i="2"/>
  <c r="E135" i="1"/>
  <c r="D137" i="1"/>
  <c r="D135" i="1" s="1"/>
  <c r="D140" i="3"/>
  <c r="J103" i="3"/>
  <c r="I106" i="3"/>
  <c r="E22" i="1"/>
  <c r="E156" i="1"/>
  <c r="E151" i="1" s="1"/>
  <c r="D157" i="1"/>
  <c r="C247" i="15"/>
  <c r="C244" i="15" s="1"/>
  <c r="C250" i="15" s="1"/>
  <c r="C221" i="15" s="1"/>
  <c r="E221" i="15" s="1"/>
  <c r="E142" i="1" s="1"/>
  <c r="Q181" i="15"/>
  <c r="S181" i="15" s="1"/>
  <c r="D156" i="1" l="1"/>
  <c r="D151" i="1" s="1"/>
  <c r="D194" i="1" s="1"/>
  <c r="E139" i="1"/>
  <c r="E130" i="1" s="1"/>
  <c r="D142" i="1"/>
  <c r="D139" i="1" s="1"/>
  <c r="D130" i="1" s="1"/>
  <c r="D20" i="1"/>
  <c r="D17" i="1" s="1"/>
  <c r="E17" i="1"/>
  <c r="G309" i="2"/>
  <c r="E310" i="2"/>
  <c r="G310" i="2" s="1"/>
  <c r="E194" i="1"/>
  <c r="D22" i="1"/>
  <c r="D21" i="1" s="1"/>
  <c r="E21" i="1"/>
  <c r="E12" i="1" s="1"/>
  <c r="E11" i="1" s="1"/>
  <c r="D143" i="3"/>
  <c r="G143" i="3" s="1"/>
  <c r="G140" i="3"/>
  <c r="D12" i="1" l="1"/>
  <c r="D11" i="1" s="1"/>
  <c r="E193" i="1"/>
  <c r="E168" i="1"/>
  <c r="E182" i="1" s="1"/>
  <c r="E187" i="1"/>
  <c r="E195" i="1" s="1"/>
  <c r="E10" i="1"/>
  <c r="D193" i="1"/>
  <c r="D187" i="1" l="1"/>
  <c r="D195" i="1" s="1"/>
  <c r="D10" i="1"/>
  <c r="D168" i="1"/>
  <c r="D18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000-000001000000}">
      <text>
        <r>
          <rPr>
            <sz val="8"/>
            <color rgb="FF000000"/>
            <rFont val="Calibri"/>
            <family val="2"/>
            <scheme val="minor"/>
          </rPr>
          <t>HFC and PFC emissions are reported in aggregate as a combination of many gases each having unique lifetimes and global warming potentials. Therefore a single GWP is not reported here. HFC and PFC emissions are reported under the subsector of ODS Substitutes using GWPs from IPCC AR6.</t>
        </r>
      </text>
    </comment>
  </commentList>
  <extLst>
    <ext xmlns:r="http://schemas.openxmlformats.org/officeDocument/2006/relationships" uri="GoogleSheetsCustomDataVersion2">
      <go:sheetsCustomData xmlns:go="http://customooxmlschemas.google.com/" r:id="rId1" roundtripDataSignature="AMtx7mhE/ONLNAme0SEA+OGCm2aozGJzX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F36" authorId="0" shapeId="0" xr:uid="{00000000-0006-0000-0100-000002000000}">
      <text>
        <r>
          <rPr>
            <sz val="8"/>
            <color rgb="FF000000"/>
            <rFont val="Calibri"/>
            <family val="2"/>
            <scheme val="minor"/>
          </rPr>
          <t>======
ID#AAABtRcYXmk
Amohammed    (2021-05-06 16:14:06)
Source: Email correspondence from Lynn,Mickey to Steve Land dated 11/16/2007</t>
        </r>
      </text>
    </comment>
    <comment ref="F203" authorId="0" shapeId="0" xr:uid="{00000000-0006-0000-0100-000004000000}">
      <text>
        <r>
          <rPr>
            <sz val="8"/>
            <color rgb="FF000000"/>
            <rFont val="Calibri"/>
            <family val="2"/>
            <scheme val="minor"/>
          </rPr>
          <t>======
ID#AAABtRcYXm0
Amohammed    (2021-05-06 16:14:06)
Source: Tempo
Courtesy Diane-MDE Compliance</t>
        </r>
      </text>
    </comment>
    <comment ref="G278" authorId="0" shapeId="0" xr:uid="{00000000-0006-0000-0100-000001000000}">
      <text>
        <r>
          <rPr>
            <sz val="8"/>
            <color rgb="FF000000"/>
            <rFont val="Calibri"/>
            <family val="2"/>
            <scheme val="minor"/>
          </rPr>
          <t>======
ID#AAABtRcYXoM
Philip Groth    (2021-05-06 16:14:06)
MMTCE is converted to MMTCO2E by multiplying by 44/12.</t>
        </r>
      </text>
    </comment>
    <comment ref="G290" authorId="0" shapeId="0" xr:uid="{00000000-0006-0000-0100-000003000000}">
      <text>
        <r>
          <rPr>
            <sz val="8"/>
            <color rgb="FF000000"/>
            <rFont val="Calibri"/>
            <family val="2"/>
            <scheme val="minor"/>
          </rPr>
          <t>======
ID#AAABtRcYXnM
Philip Groth    (2021-05-06 16:14:06)
MMTCE is converted to MMTCO2E by multiplying by 44/12.</t>
        </r>
      </text>
    </comment>
  </commentList>
  <extLst>
    <ext xmlns:r="http://schemas.openxmlformats.org/officeDocument/2006/relationships" uri="GoogleSheetsCustomDataVersion2">
      <go:sheetsCustomData xmlns:go="http://customooxmlschemas.google.com/" r:id="rId1" roundtripDataSignature="AMtx7mhmBSX01+pfucY7VjxbOSvCDkSjug=="/>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F100" authorId="0" shapeId="0" xr:uid="{00000000-0006-0000-0200-000001000000}">
      <text>
        <r>
          <rPr>
            <sz val="8"/>
            <color rgb="FF000000"/>
            <rFont val="Calibri"/>
            <family val="2"/>
            <scheme val="minor"/>
          </rPr>
          <t>======
ID#AAABtRK0dSM
Beth Moore    (2021-05-06 16:14:06)
Billion Btus are converted to short tons of carbon by multiplying by the emission factor, combustion efficiency, 1,000 million/billion, and 0.0005 lbs/short ton.</t>
        </r>
      </text>
    </comment>
    <comment ref="G100" authorId="0" shapeId="0" xr:uid="{00000000-0006-0000-0200-000002000000}">
      <text>
        <r>
          <rPr>
            <sz val="8"/>
            <color rgb="FF000000"/>
            <rFont val="Calibri"/>
            <family val="2"/>
            <scheme val="minor"/>
          </rPr>
          <t>======
ID#AAABtRcYXnk
Philip Groth    (2021-05-06 16:14:06)
short tons C  is converted to short tons CO2 by  multiplying by 44/12.</t>
        </r>
      </text>
    </comment>
    <comment ref="H100" authorId="0" shapeId="0" xr:uid="{00000000-0006-0000-0200-000003000000}">
      <text>
        <r>
          <rPr>
            <sz val="8"/>
            <color rgb="FF000000"/>
            <rFont val="Calibri"/>
            <family val="2"/>
            <scheme val="minor"/>
          </rPr>
          <t>======
ID#AAABtRcYXmg
Philip Groth    (2021-05-06 16:14:06)
short tons C  is converted to short tons CO2 by  multiplying by 44/12.</t>
        </r>
      </text>
    </comment>
    <comment ref="I100" authorId="0" shapeId="0" xr:uid="{00000000-0006-0000-0200-000004000000}">
      <text>
        <r>
          <rPr>
            <sz val="8"/>
            <color rgb="FF000000"/>
            <rFont val="Calibri"/>
            <family val="2"/>
            <scheme val="minor"/>
          </rPr>
          <t>======
ID#AAABtRcYXnQ
Philip Groth    (2021-05-06 16:14:06)
short tons C  is converted to short tons CO2 by  multiplying by 44/12.</t>
        </r>
      </text>
    </comment>
    <comment ref="J100" authorId="0" shapeId="0" xr:uid="{00000000-0006-0000-0200-000005000000}">
      <text>
        <r>
          <rPr>
            <sz val="8"/>
            <color rgb="FF000000"/>
            <rFont val="Calibri"/>
            <family val="2"/>
            <scheme val="minor"/>
          </rPr>
          <t>======
ID#AAABtRcYXmw
Philip Groth    (2021-05-06 16:14:06)
short tons C  is converted to short tons CO2 by  multiplying by 44/12.</t>
        </r>
      </text>
    </comment>
    <comment ref="G112" authorId="0" shapeId="0" xr:uid="{00000000-0006-0000-0200-000006000000}">
      <text>
        <r>
          <rPr>
            <sz val="8"/>
            <color rgb="FF000000"/>
            <rFont val="Calibri"/>
            <family val="2"/>
            <scheme val="minor"/>
          </rPr>
          <t>======
ID#AAABtRcYXmA
Philip Groth    (2021-05-06 16:14:06)
MMTCE is converted to MMTCO2E by multiplying by 44/12.</t>
        </r>
      </text>
    </comment>
    <comment ref="G124" authorId="0" shapeId="0" xr:uid="{00000000-0006-0000-0200-000007000000}">
      <text>
        <r>
          <rPr>
            <sz val="8"/>
            <color rgb="FF000000"/>
            <rFont val="Calibri"/>
            <family val="2"/>
            <scheme val="minor"/>
          </rPr>
          <t>======
ID#AAABtRcYXlw
Philip Groth    (2021-05-06 16:14:06)
MMTCE is converted to MMTCO2E by multiplying by 44/12.</t>
        </r>
      </text>
    </comment>
  </commentList>
  <extLst>
    <ext xmlns:r="http://schemas.openxmlformats.org/officeDocument/2006/relationships" uri="GoogleSheetsCustomDataVersion2">
      <go:sheetsCustomData xmlns:go="http://customooxmlschemas.google.com/" r:id="rId1" roundtripDataSignature="AMtx7miWC2T6Yilb0BQ3hGHDfbLg/4ZjOw=="/>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F7" authorId="0" shapeId="0" xr:uid="{00000000-0006-0000-0400-000001000000}">
      <text>
        <r>
          <rPr>
            <sz val="8"/>
            <color rgb="FF000000"/>
            <rFont val="Calibri"/>
            <family val="2"/>
            <scheme val="minor"/>
          </rPr>
          <t>======
ID#AAABtRcYXls
Beth Moore    (2021-05-06 16:14:06)
Billion Btus are converted to short tons of carbon by multiplying by the emission factor, combustion efficiency, 1,000 million/billion, and 0.0005 lbs/short ton.</t>
        </r>
      </text>
    </comment>
    <comment ref="B25" authorId="0" shapeId="0" xr:uid="{00000000-0006-0000-0400-000003000000}">
      <text>
        <r>
          <rPr>
            <sz val="8"/>
            <color rgb="FF000000"/>
            <rFont val="Calibri"/>
            <family val="2"/>
            <scheme val="minor"/>
          </rPr>
          <t>======
ID#AAABtRcYXqc
LP    (2021-05-06 16:14:06)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31" authorId="0" shapeId="0" xr:uid="{00000000-0006-0000-0400-000002000000}">
      <text>
        <r>
          <rPr>
            <sz val="8"/>
            <color rgb="FF000000"/>
            <rFont val="Calibri"/>
            <family val="2"/>
            <scheme val="minor"/>
          </rPr>
          <t>======
ID#AAABtRcYXok
Philip Groth    (2021-05-06 16:14:06)
MMTCE is converted to MMTCO2E by multiplying by 44/12.</t>
        </r>
      </text>
    </comment>
    <comment ref="B38" authorId="0" shapeId="0" xr:uid="{00000000-0006-0000-0400-000004000000}">
      <text>
        <r>
          <rPr>
            <sz val="8"/>
            <color rgb="FF000000"/>
            <rFont val="Calibri"/>
            <family val="2"/>
            <scheme val="minor"/>
          </rPr>
          <t>======
ID#AAABtRcYXl0
LP    (2021-05-06 16:14:06)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B53" authorId="0" shapeId="0" xr:uid="{00000000-0006-0000-0400-000005000000}">
      <text>
        <r>
          <rPr>
            <sz val="8"/>
            <color rgb="FF000000"/>
            <rFont val="Calibri"/>
            <family val="2"/>
            <scheme val="minor"/>
          </rPr>
          <t>======
ID#AAABtRN1NQM
LP    (2021-05-06 16:14:06)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i4A9s3uYEXmwKvRvx9/WdD/KHzgQ=="/>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500-000001000000}">
      <text>
        <r>
          <rPr>
            <sz val="8"/>
            <color rgb="FF000000"/>
            <rFont val="Calibri"/>
            <family val="2"/>
            <scheme val="minor"/>
          </rPr>
          <t>======
ID#AAABtRcYXnU
Beth Moore    (2021-05-06 16:14:06)
Billion Btus are converted to short tons of carbon by multiplying by the emission factor, combustion efficiency, 1,000 million/billion, and 0.0005 lbs/short ton.</t>
        </r>
      </text>
    </comment>
    <comment ref="G6" authorId="0" shapeId="0" xr:uid="{00000000-0006-0000-0500-000002000000}">
      <text>
        <r>
          <rPr>
            <sz val="8"/>
            <color rgb="FF000000"/>
            <rFont val="Calibri"/>
            <family val="2"/>
            <scheme val="minor"/>
          </rPr>
          <t>======
ID#AAABtRcYXlM
Philip Groth    (2021-05-06 16:14:06)
MMTCE is converted to MMTCO2E by multiplying by 44/12.</t>
        </r>
      </text>
    </comment>
    <comment ref="G20" authorId="0" shapeId="0" xr:uid="{00000000-0006-0000-0500-000004000000}">
      <text>
        <r>
          <rPr>
            <sz val="8"/>
            <color rgb="FF000000"/>
            <rFont val="Calibri"/>
            <family val="2"/>
            <scheme val="minor"/>
          </rPr>
          <t>======
ID#AAABtRcYXlk
Philip Groth    (2021-05-06 16:14:06)
MMTCE is converted to MMTCO2E by multiplying by 44/12.</t>
        </r>
      </text>
    </comment>
    <comment ref="B29" authorId="0" shapeId="0" xr:uid="{00000000-0006-0000-0500-000006000000}">
      <text>
        <r>
          <rPr>
            <sz val="8"/>
            <color rgb="FF000000"/>
            <rFont val="Calibri"/>
            <family val="2"/>
            <scheme val="minor"/>
          </rPr>
          <t>======
ID#AAABtRcYXpc
LP    (2021-05-06 16:14:06)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35" authorId="0" shapeId="0" xr:uid="{00000000-0006-0000-0500-000005000000}">
      <text>
        <r>
          <rPr>
            <sz val="8"/>
            <color rgb="FF000000"/>
            <rFont val="Calibri"/>
            <family val="2"/>
            <scheme val="minor"/>
          </rPr>
          <t>======
ID#AAABtRcYXo0
Philip Groth    (2021-05-06 16:14:06)
MMTCE is converted to MMTCO2E by multiplying by 44/12.</t>
        </r>
      </text>
    </comment>
    <comment ref="B44" authorId="0" shapeId="0" xr:uid="{00000000-0006-0000-0500-000008000000}">
      <text>
        <r>
          <rPr>
            <sz val="8"/>
            <color rgb="FF000000"/>
            <rFont val="Calibri"/>
            <family val="2"/>
            <scheme val="minor"/>
          </rPr>
          <t>======
ID#AAABtRN1NPs
LP    (2021-05-06 16:14:06)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52" authorId="0" shapeId="0" xr:uid="{00000000-0006-0000-0500-000003000000}">
      <text>
        <r>
          <rPr>
            <sz val="8"/>
            <color rgb="FF000000"/>
            <rFont val="Calibri"/>
            <family val="2"/>
            <scheme val="minor"/>
          </rPr>
          <t>======
ID#AAABtRcYXrA
Philip Groth    (2021-05-06 16:14:06)
MMTCE is converted to MMTCO2E by multiplying by 44/12.</t>
        </r>
      </text>
    </comment>
    <comment ref="B61" authorId="0" shapeId="0" xr:uid="{00000000-0006-0000-0500-000007000000}">
      <text>
        <r>
          <rPr>
            <sz val="8"/>
            <color rgb="FF000000"/>
            <rFont val="Calibri"/>
            <family val="2"/>
            <scheme val="minor"/>
          </rPr>
          <t>======
ID#AAABtRcYXqo
LP    (2021-05-06 16:14:06)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jTnKsas3lNK6BAv21C3HoJ774wlg=="/>
    </ext>
  </extL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I7" authorId="0" shapeId="0" xr:uid="{00000000-0006-0000-0600-000002000000}">
      <text>
        <r>
          <rPr>
            <sz val="8"/>
            <color rgb="FF000000"/>
            <rFont val="Calibri"/>
            <family val="2"/>
            <scheme val="minor"/>
          </rPr>
          <t>======
ID#AAABtRcYXqY
Beth Moore    (2021-05-06 16:14:06)
Billion Btus are converted to short tons of carbon by multiplying by the emission factor, combustion efficiency, 1,000 million/billion, and 0.0005 lbs/short ton.</t>
        </r>
      </text>
    </comment>
    <comment ref="J7" authorId="0" shapeId="0" xr:uid="{00000000-0006-0000-0600-000005000000}">
      <text>
        <r>
          <rPr>
            <sz val="8"/>
            <color rgb="FF000000"/>
            <rFont val="Calibri"/>
            <family val="2"/>
            <scheme val="minor"/>
          </rPr>
          <t>======
ID#AAABtRcYXnc
Philip Groth    (2021-05-06 16:14:06)
MMTCE is converted to MMTCO2E by multiplying by 44/12.</t>
        </r>
      </text>
    </comment>
    <comment ref="B28" authorId="0" shapeId="0" xr:uid="{00000000-0006-0000-0600-00000B000000}">
      <text>
        <r>
          <rPr>
            <sz val="8"/>
            <color rgb="FF000000"/>
            <rFont val="Calibri"/>
            <family val="2"/>
            <scheme val="minor"/>
          </rPr>
          <t>======
ID#AAABtRcYXlE
J Casola    (2021-05-06 16:14:06)
SEDR data show negative values for consumption.  Represents storage of energy, since oils are manufactured from other fuels.  "Negative" emissions serve to correct the overestimation of emissions attributed to the parent fuel.</t>
        </r>
      </text>
    </comment>
    <comment ref="H37" authorId="0" shapeId="0" xr:uid="{00000000-0006-0000-0600-000003000000}">
      <text>
        <r>
          <rPr>
            <sz val="8"/>
            <color rgb="FF000000"/>
            <rFont val="Calibri"/>
            <family val="2"/>
            <scheme val="minor"/>
          </rPr>
          <t>======
ID#AAABtRcYXrM
Philip Groth    (2021-05-06 16:14:06)
metric tons N2O  converted to MMTCO2E by multiplying by GWP and diving by 106.</t>
        </r>
      </text>
    </comment>
    <comment ref="B58" authorId="0" shapeId="0" xr:uid="{00000000-0006-0000-0600-00000D000000}">
      <text>
        <r>
          <rPr>
            <sz val="8"/>
            <color rgb="FF000000"/>
            <rFont val="Calibri"/>
            <family val="2"/>
            <scheme val="minor"/>
          </rPr>
          <t>======
ID#AAABtRcYXoA
J Casola    (2021-05-06 16:14:06)
SEDR data show negative values for consumption.  Represents storage of energy, since oils are manufactured from other fuels.  "Negative" emissions serve to correct the overestimation of emissions attributed to the parent fuel.</t>
        </r>
      </text>
    </comment>
    <comment ref="B61" authorId="0" shapeId="0" xr:uid="{00000000-0006-0000-0600-000008000000}">
      <text>
        <r>
          <rPr>
            <sz val="8"/>
            <color rgb="FF000000"/>
            <rFont val="Calibri"/>
            <family val="2"/>
            <scheme val="minor"/>
          </rPr>
          <t>======
ID#AAABtRcYXlY
LP    (2021-05-06 16:14:06)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H68" authorId="0" shapeId="0" xr:uid="{00000000-0006-0000-0600-000007000000}">
      <text>
        <r>
          <rPr>
            <sz val="8"/>
            <color rgb="FF000000"/>
            <rFont val="Calibri"/>
            <family val="2"/>
            <scheme val="minor"/>
          </rPr>
          <t>======
ID#AAABtRcYXo4
Philip Groth    (2021-05-06 16:14:06)
metric tons CH4 converted to MMTCO2E by multiplying by GWP. and Dividing by 106</t>
        </r>
      </text>
    </comment>
    <comment ref="B89" authorId="0" shapeId="0" xr:uid="{00000000-0006-0000-0600-00000E000000}">
      <text>
        <r>
          <rPr>
            <sz val="8"/>
            <color rgb="FF000000"/>
            <rFont val="Calibri"/>
            <family val="2"/>
            <scheme val="minor"/>
          </rPr>
          <t>======
ID#AAABtRcYXsA
J Casola    (2021-05-06 16:14:06)
SEDR data show negative values for consumption.  Represents storage of energy, since oils are manufactured from other fuels.  "Negative" emissions serve to correct the overestimation of emissions attributed to the parent fuel.</t>
        </r>
      </text>
    </comment>
    <comment ref="B92" authorId="0" shapeId="0" xr:uid="{00000000-0006-0000-0600-00000A000000}">
      <text>
        <r>
          <rPr>
            <sz val="8"/>
            <color rgb="FF000000"/>
            <rFont val="Calibri"/>
            <family val="2"/>
            <scheme val="minor"/>
          </rPr>
          <t>======
ID#AAABtRcYXoc
LP    (2021-05-06 16:14:06)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E100" authorId="0" shapeId="0" xr:uid="{00000000-0006-0000-0600-000001000000}">
      <text>
        <r>
          <rPr>
            <sz val="8"/>
            <color rgb="FF000000"/>
            <rFont val="Calibri"/>
            <family val="2"/>
            <scheme val="minor"/>
          </rPr>
          <t>======
ID#AAABtRcYXq4
Philip Groth    (2021-05-06 16:14:06)
metric tons CH4 converted to MMTCO2E by multiplying by GWP. and Dividing by 106</t>
        </r>
      </text>
    </comment>
    <comment ref="F100" authorId="0" shapeId="0" xr:uid="{00000000-0006-0000-0600-000004000000}">
      <text>
        <r>
          <rPr>
            <sz val="8"/>
            <color rgb="FF000000"/>
            <rFont val="Calibri"/>
            <family val="2"/>
            <scheme val="minor"/>
          </rPr>
          <t>======
ID#AAABtRN1NPo
Philip Groth    (2021-05-06 16:14:06)
metric tons CH4 converted to MMTCO2E by multiplying by GWP. and Dividing by 106</t>
        </r>
      </text>
    </comment>
    <comment ref="G100" authorId="0" shapeId="0" xr:uid="{00000000-0006-0000-0600-000006000000}">
      <text>
        <r>
          <rPr>
            <sz val="8"/>
            <color rgb="FF000000"/>
            <rFont val="Calibri"/>
            <family val="2"/>
            <scheme val="minor"/>
          </rPr>
          <t>======
ID#AAABtRcYXnE
Philip Groth    (2021-05-06 16:14:06)
metric tons CH4 converted to MMTCO2E by multiplying by GWP. and Dividing by 106</t>
        </r>
      </text>
    </comment>
    <comment ref="H100" authorId="0" shapeId="0" xr:uid="{00000000-0006-0000-0600-000009000000}">
      <text>
        <r>
          <rPr>
            <sz val="8"/>
            <color rgb="FF000000"/>
            <rFont val="Calibri"/>
            <family val="2"/>
            <scheme val="minor"/>
          </rPr>
          <t>======
ID#AAABtRN1NPw
Philip Groth    (2021-05-06 16:14:06)
metric tons CH4 converted to MMTCO2E by multiplying by GWP. and Dividing by 106</t>
        </r>
      </text>
    </comment>
    <comment ref="B121" authorId="0" shapeId="0" xr:uid="{00000000-0006-0000-0600-00000F000000}">
      <text>
        <r>
          <rPr>
            <sz val="8"/>
            <color rgb="FF000000"/>
            <rFont val="Calibri"/>
            <family val="2"/>
            <scheme val="minor"/>
          </rPr>
          <t>======
ID#AAABtRcYXnI
J Casola    (2021-05-06 16:14:06)
SEDR data show negative values for consumption.  Represents storage of energy, since oils are manufactured from other fuels.  "Negative" emissions serve to correct the overestimation of emissions attributed to the parent fuel.</t>
        </r>
      </text>
    </comment>
    <comment ref="B124" authorId="0" shapeId="0" xr:uid="{00000000-0006-0000-0600-00000C000000}">
      <text>
        <r>
          <rPr>
            <sz val="8"/>
            <color rgb="FF000000"/>
            <rFont val="Calibri"/>
            <family val="2"/>
            <scheme val="minor"/>
          </rPr>
          <t>======
ID#AAABtRcYXpI
LP    (2021-05-06 16:14:06)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iv5D88aasIGUxXFgK8YejZSfdxMQ=="/>
    </ext>
  </extL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E11" authorId="0" shapeId="0" xr:uid="{00000000-0006-0000-0700-000007000000}">
      <text>
        <r>
          <rPr>
            <sz val="8"/>
            <color rgb="FF000000"/>
            <rFont val="Calibri"/>
            <family val="2"/>
            <scheme val="minor"/>
          </rPr>
          <t>======
ID#AAABtRcYXpU
Amohammed    (2021-05-06 16:14:06)
Total Gasoline from Controller of Maryland Motor Fuel Tax Bureau = 2,721,404,088
EIA SED = 2,713,397,442</t>
        </r>
      </text>
    </comment>
    <comment ref="B22" authorId="0" shapeId="0" xr:uid="{00000000-0006-0000-0700-000008000000}">
      <text>
        <r>
          <rPr>
            <sz val="8"/>
            <color rgb="FF000000"/>
            <rFont val="Calibri"/>
            <family val="2"/>
            <scheme val="minor"/>
          </rPr>
          <t>======
ID#AAABtRcYXmI
rthunell    (2021-05-06 16:14:06)
Source:  FHWA Data MF-24 Table 
National data Allocated from HD State Percent</t>
        </r>
      </text>
    </comment>
    <comment ref="I24" authorId="0" shapeId="0" xr:uid="{00000000-0006-0000-0700-000003000000}">
      <text>
        <r>
          <rPr>
            <sz val="8"/>
            <color rgb="FF000000"/>
            <rFont val="Calibri"/>
            <family val="2"/>
            <scheme val="minor"/>
          </rPr>
          <t>======
ID#AAABtRcYXm4
Amohammed    (2021-05-06 16:14:06)
Total Gasoline from Controller of Maryland Motor Fuel Tax Bureau = 2,721,404,088
EIA SED = 2,713,397,442</t>
        </r>
      </text>
    </comment>
    <comment ref="B33" authorId="0" shapeId="0" xr:uid="{00000000-0006-0000-0700-000002000000}">
      <text>
        <r>
          <rPr>
            <sz val="8"/>
            <color rgb="FF000000"/>
            <rFont val="Calibri"/>
            <family val="2"/>
            <scheme val="minor"/>
          </rPr>
          <t>======
ID#AAABtRcYXr4
rthunell    (2021-05-06 16:14:06)
Source: FHWA, Highway Statistics, table MF-24, http://www.fhwa.dot.gov/policy/ohpi/hss/index.htm
Diesel National Construction Consumption allocated to state level by Gasoline percentage.</t>
        </r>
      </text>
    </comment>
    <comment ref="B34" authorId="0" shapeId="0" xr:uid="{00000000-0006-0000-0700-000001000000}">
      <text>
        <r>
          <rPr>
            <sz val="8"/>
            <color rgb="FF000000"/>
            <rFont val="Calibri"/>
            <family val="2"/>
            <scheme val="minor"/>
          </rPr>
          <t>======
ID#AAABtRcYXrE
rthunell    (2021-05-06 16:14:06)
Source: EIA, Fuel Oil and Kerosene Sales, Table 24.  Sum of Total Military Distillate Fuel and "Other" Off-Highway Distillate Fuel.
National Diesel data allocated to state level by Gasoline HD Utility Percentage from FHWA MF-24 table</t>
        </r>
      </text>
    </comment>
    <comment ref="I35" authorId="0" shapeId="0" xr:uid="{00000000-0006-0000-0700-000006000000}">
      <text>
        <r>
          <rPr>
            <sz val="8"/>
            <color rgb="FF000000"/>
            <rFont val="Calibri"/>
            <family val="2"/>
            <scheme val="minor"/>
          </rPr>
          <t>======
ID#AAABtRcYXno
Amohammed    (2021-05-06 16:14:06)
Rail Consumption Data from Survey/MD specific Reports</t>
        </r>
      </text>
    </comment>
    <comment ref="B36" authorId="0" shapeId="0" xr:uid="{00000000-0006-0000-0700-000009000000}">
      <text>
        <r>
          <rPr>
            <sz val="8"/>
            <color rgb="FF000000"/>
            <rFont val="Calibri"/>
            <family val="2"/>
            <scheme val="minor"/>
          </rPr>
          <t>======
ID#AAABtRcYXpo
rthunell    (2021-05-06 16:14:06)
Source: EIA. State Energy Data Reports (http://www.eia.doe.gov/emeu/states/_states.html).
Marine Diesel allocated to state level by state marine residual oil percent.</t>
        </r>
      </text>
    </comment>
    <comment ref="I38" authorId="0" shapeId="0" xr:uid="{00000000-0006-0000-0700-000005000000}">
      <text>
        <r>
          <rPr>
            <sz val="8"/>
            <color rgb="FF000000"/>
            <rFont val="Calibri"/>
            <family val="2"/>
            <scheme val="minor"/>
          </rPr>
          <t>======
ID#AAABtRcYXoo
Amohammed    (2021-05-06 16:14:06)
Total Gasoline from Controller of Maryland Motor Fuel Tax Bureau = 2,721,404,088
EIA SED = 2,713,397,442</t>
        </r>
      </text>
    </comment>
    <comment ref="I39" authorId="0" shapeId="0" xr:uid="{00000000-0006-0000-0700-000004000000}">
      <text>
        <r>
          <rPr>
            <sz val="8"/>
            <color rgb="FF000000"/>
            <rFont val="Calibri"/>
            <family val="2"/>
            <scheme val="minor"/>
          </rPr>
          <t>======
ID#AAABtRcYXms
Amohammed    (2021-05-06 16:14:06)
Total Gasoline from Controller of Maryland Motor Fuel Tax Bureau = 2,721,404,088
EIA SED = 2,713,397,442</t>
        </r>
      </text>
    </comment>
  </commentList>
  <extLst>
    <ext xmlns:r="http://schemas.openxmlformats.org/officeDocument/2006/relationships" uri="GoogleSheetsCustomDataVersion2">
      <go:sheetsCustomData xmlns:go="http://customooxmlschemas.google.com/" r:id="rId1" roundtripDataSignature="AMtx7mgokhjrZidF36F9JSpWPS3glAMoWA=="/>
    </ext>
  </extL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800-000002000000}">
      <text>
        <r>
          <rPr>
            <sz val="8"/>
            <color rgb="FF000000"/>
            <rFont val="Calibri"/>
            <family val="2"/>
            <scheme val="minor"/>
          </rPr>
          <t>======
ID#AAABtRcYXo8
Beth Moore    (2021-05-06 16:14:06)
MTCH4 are converted to MMTCO2E by multiplying by the GWP of CH4, or 21, and then dividing by 1,000,000</t>
        </r>
      </text>
    </comment>
    <comment ref="F22" authorId="0" shapeId="0" xr:uid="{00000000-0006-0000-0800-000001000000}">
      <text>
        <r>
          <rPr>
            <sz val="8"/>
            <color rgb="FF000000"/>
            <rFont val="Calibri"/>
            <family val="2"/>
            <scheme val="minor"/>
          </rPr>
          <t>======
ID#AAABtRcYXqg
Beth Moore    (2021-05-06 16:14:06)
MTCH4 are converted to MMTCO2E by multiplying by the GWP of CH4, or 21, and then dividing by 1,000,000</t>
        </r>
      </text>
    </comment>
    <comment ref="F45" authorId="0" shapeId="0" xr:uid="{00000000-0006-0000-0800-000003000000}">
      <text>
        <r>
          <rPr>
            <sz val="8"/>
            <color rgb="FF000000"/>
            <rFont val="Calibri"/>
            <family val="2"/>
            <scheme val="minor"/>
          </rPr>
          <t>======
ID#AAABtRcYXoQ
Beth Moore    (2021-05-06 16:14:06)
MTCH4 are converted to MMTCO2E by multiplying by the GWP of CH4, or 21, and then dividing by 1,000,000</t>
        </r>
      </text>
    </comment>
  </commentList>
  <extLst>
    <ext xmlns:r="http://schemas.openxmlformats.org/officeDocument/2006/relationships" uri="GoogleSheetsCustomDataVersion2">
      <go:sheetsCustomData xmlns:go="http://customooxmlschemas.google.com/" r:id="rId1" roundtripDataSignature="AMtx7minVZEKsEFpJ1NLb/8FpC+XA9EM+g=="/>
    </ext>
  </extL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L4" authorId="0" shapeId="0" xr:uid="{00000000-0006-0000-0900-000004000000}">
      <text>
        <r>
          <rPr>
            <sz val="8"/>
            <color rgb="FF000000"/>
            <rFont val="Calibri"/>
            <family val="2"/>
            <scheme val="minor"/>
          </rPr>
          <t>======
ID#AAABtRcYXrg
Beth Moore    (2021-05-06 16:14:06)
Million cubic feet are converted to MTCH4 by multiplying by 19.2 grams/cubic feet of CH4.</t>
        </r>
      </text>
    </comment>
    <comment ref="N4" authorId="0" shapeId="0" xr:uid="{00000000-0006-0000-0900-000005000000}">
      <text>
        <r>
          <rPr>
            <sz val="8"/>
            <color rgb="FF000000"/>
            <rFont val="Calibri"/>
            <family val="2"/>
            <scheme val="minor"/>
          </rPr>
          <t>======
ID#AAABtRcYXqM
Beth Moore    (2021-05-06 16:14:06)
MTCH4 are converted to MTCO2E by multiplying first by the GWP of CH4, or 21.</t>
        </r>
      </text>
    </comment>
    <comment ref="J8" authorId="0" shapeId="0" xr:uid="{00000000-0006-0000-0900-000002000000}">
      <text>
        <r>
          <rPr>
            <sz val="8"/>
            <color rgb="FF000000"/>
            <rFont val="Calibri"/>
            <family val="2"/>
            <scheme val="minor"/>
          </rPr>
          <t>======
ID#AAABtRcYXos
Beth Moore    (2021-05-06 16:14:06)
Thousand cubic feet are converted to MTCH4 by dividing by 1,000, then by 19.2 grams/cubic feet of CH4.</t>
        </r>
      </text>
    </comment>
    <comment ref="L8" authorId="0" shapeId="0" xr:uid="{00000000-0006-0000-0900-000003000000}">
      <text>
        <r>
          <rPr>
            <sz val="8"/>
            <color rgb="FF000000"/>
            <rFont val="Calibri"/>
            <family val="2"/>
            <scheme val="minor"/>
          </rPr>
          <t>======
ID#AAABtRcYXpk
Beth Moore    (2021-05-06 16:14:06)
MTCH4 are converted to MTCO2E by multiplying first by the GWP of CH4, or 21.</t>
        </r>
      </text>
    </comment>
    <comment ref="J12" authorId="0" shapeId="0" xr:uid="{00000000-0006-0000-0900-000006000000}">
      <text>
        <r>
          <rPr>
            <sz val="8"/>
            <color rgb="FF000000"/>
            <rFont val="Calibri"/>
            <family val="2"/>
            <scheme val="minor"/>
          </rPr>
          <t>======
ID#AAABtRcYXqI
Beth Moore    (2021-05-06 16:14:06)
Thousand cubic feet are converted to MTCH4 by dividing by 1,000, then by 19.2 grams/cubic feet of CH4.</t>
        </r>
      </text>
    </comment>
    <comment ref="L12" authorId="0" shapeId="0" xr:uid="{00000000-0006-0000-0900-000001000000}">
      <text>
        <r>
          <rPr>
            <sz val="8"/>
            <color rgb="FF000000"/>
            <rFont val="Calibri"/>
            <family val="2"/>
            <scheme val="minor"/>
          </rPr>
          <t>======
ID#AAABtRN1NP8
Beth Moore    (2021-05-06 16:14:06)
MTCH4 are converted to MTCO2E by multiplying first by the GWP of CH4, or 21.</t>
        </r>
      </text>
    </comment>
  </commentList>
  <extLst>
    <ext xmlns:r="http://schemas.openxmlformats.org/officeDocument/2006/relationships" uri="GoogleSheetsCustomDataVersion2">
      <go:sheetsCustomData xmlns:go="http://customooxmlschemas.google.com/" r:id="rId1" roundtripDataSignature="AMtx7mgTsVOp8FvqhIecfeu2dx04mxHxOA=="/>
    </ext>
  </extL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G13" authorId="0" shapeId="0" xr:uid="{00000000-0006-0000-0A00-000006000000}">
      <text>
        <r>
          <rPr>
            <sz val="8"/>
            <color rgb="FF000000"/>
            <rFont val="Calibri"/>
            <family val="2"/>
            <scheme val="minor"/>
          </rPr>
          <t>======
ID#AAABtRN1NP4
Amohammed    (2021-05-06 16:14:06)
Compared to 2,663,000 metric tons report by USGS Minerals Yearbook 2006</t>
        </r>
      </text>
    </comment>
    <comment ref="D15" authorId="0" shapeId="0" xr:uid="{00000000-0006-0000-0A00-000003000000}">
      <text>
        <r>
          <rPr>
            <sz val="8"/>
            <color rgb="FF000000"/>
            <rFont val="Calibri"/>
            <family val="2"/>
            <scheme val="minor"/>
          </rPr>
          <t>======
ID#AAABtRcYXsE
Amohammed    (2021-05-06 16:14:06)
Default WBCSD</t>
        </r>
      </text>
    </comment>
    <comment ref="E15" authorId="0" shapeId="0" xr:uid="{00000000-0006-0000-0A00-000004000000}">
      <text>
        <r>
          <rPr>
            <sz val="8"/>
            <color rgb="FF000000"/>
            <rFont val="Calibri"/>
            <family val="2"/>
            <scheme val="minor"/>
          </rPr>
          <t>======
ID#AAABtRN1NQA
Amohammed    (2021-05-06 16:14:06)
2008 Emission Certification Report</t>
        </r>
      </text>
    </comment>
    <comment ref="F37" authorId="0" shapeId="0" xr:uid="{00000000-0006-0000-0A00-000001000000}">
      <text>
        <r>
          <rPr>
            <sz val="8"/>
            <color rgb="FF000000"/>
            <rFont val="Calibri"/>
            <family val="2"/>
            <scheme val="minor"/>
          </rPr>
          <t>======
ID#AAABtRcYXns
Amohammed    (2021-05-06 16:14:06)
2006 Emission Certification report</t>
        </r>
      </text>
    </comment>
    <comment ref="J63" authorId="0" shapeId="0" xr:uid="{00000000-0006-0000-0A00-000007000000}">
      <text>
        <r>
          <rPr>
            <sz val="8"/>
            <color rgb="FF000000"/>
            <rFont val="Calibri"/>
            <family val="2"/>
            <scheme val="minor"/>
          </rPr>
          <t>======
ID#AAABtRcYXl4
Beth Moore    (2021-05-06 16:14:06)
Metric Tons CO2 are converted into Metric Tons Carbon Equivalent by multiplying by the molecular weight ratio of carbon to carbon dioxide, or (12/44).</t>
        </r>
      </text>
    </comment>
    <comment ref="L63" authorId="0" shapeId="0" xr:uid="{00000000-0006-0000-0A00-000008000000}">
      <text>
        <r>
          <rPr>
            <sz val="8"/>
            <color rgb="FF000000"/>
            <rFont val="Calibri"/>
            <family val="2"/>
            <scheme val="minor"/>
          </rPr>
          <t>======
ID#AAABtRcYXr0
Beth Moore    (2021-05-06 16:14:06)
Metric Tons CO2 are converted into Metric Tons Carbon Equivalent by multiplying by the molecular weight ratio of carbon to carbon dioxide, or (12/44).</t>
        </r>
      </text>
    </comment>
    <comment ref="M63" authorId="0" shapeId="0" xr:uid="{00000000-0006-0000-0A00-000009000000}">
      <text>
        <r>
          <rPr>
            <sz val="8"/>
            <color rgb="FF000000"/>
            <rFont val="Calibri"/>
            <family val="2"/>
            <scheme val="minor"/>
          </rPr>
          <t>======
ID#AAABtRcYXpM
Beth Moore    (2021-05-06 16:14:06)
Metric Tons CO2 are converted into Metric Tons Carbon Equivalent by multiplying by the molecular weight ratio of carbon to carbon dioxide, or (12/44).</t>
        </r>
      </text>
    </comment>
    <comment ref="H66" authorId="0" shapeId="0" xr:uid="{00000000-0006-0000-0A00-000005000000}">
      <text>
        <r>
          <rPr>
            <sz val="8"/>
            <color rgb="FF000000"/>
            <rFont val="Calibri"/>
            <family val="2"/>
            <scheme val="minor"/>
          </rPr>
          <t>======
ID#AAABtRN1NP0
Amohammed    (2021-05-06 16:14:06)
Cement Kiln Dust CO2 assumed to be 20% Clinker Production CO2 Emissions</t>
        </r>
      </text>
    </comment>
    <comment ref="D82" authorId="0" shapeId="0" xr:uid="{00000000-0006-0000-0A00-000002000000}">
      <text>
        <r>
          <rPr>
            <sz val="8"/>
            <color rgb="FF000000"/>
            <rFont val="Calibri"/>
            <family val="2"/>
            <scheme val="minor"/>
          </rPr>
          <t>======
ID#AAABtRcYXlc
Amohammed    (2021-05-06 16:14:06)
Compared to 2,663,000 metric tons report by USGS Minerals Yearbook 2006</t>
        </r>
      </text>
    </comment>
  </commentList>
  <extLst>
    <ext xmlns:r="http://schemas.openxmlformats.org/officeDocument/2006/relationships" uri="GoogleSheetsCustomDataVersion2">
      <go:sheetsCustomData xmlns:go="http://customooxmlschemas.google.com/" r:id="rId1" roundtripDataSignature="AMtx7mgvzdAw0SFK6C2BTR3Ln7q/DtbLBQ=="/>
    </ext>
  </extL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H4" authorId="0" shapeId="0" xr:uid="{00000000-0006-0000-0B00-000004000000}">
      <text>
        <r>
          <rPr>
            <sz val="8"/>
            <color rgb="FF000000"/>
            <rFont val="Calibri"/>
            <family val="2"/>
            <scheme val="minor"/>
          </rPr>
          <t>======
ID#AAABtRcYXqk
Beth Moore    (2021-05-06 16:14:06)
Metric Tons CO2 are converted into Metric Tons Carbon Equivalent by multiplying by the molecular weight ratio of carbon to carbon dioxide, or (12/44).</t>
        </r>
      </text>
    </comment>
    <comment ref="C6" authorId="0" shapeId="0" xr:uid="{00000000-0006-0000-0B00-000007000000}">
      <text>
        <r>
          <rPr>
            <sz val="8"/>
            <color rgb="FF000000"/>
            <rFont val="Calibri"/>
            <family val="2"/>
            <scheme val="minor"/>
          </rPr>
          <t>======
ID#AAABtRcYXoI
Beth Moore    (2021-05-06 16:14:06)
Do not include dolomite used in magnesium production.</t>
        </r>
      </text>
    </comment>
    <comment ref="H10" authorId="0" shapeId="0" xr:uid="{00000000-0006-0000-0B00-000009000000}">
      <text>
        <r>
          <rPr>
            <sz val="8"/>
            <color rgb="FF000000"/>
            <rFont val="Calibri"/>
            <family val="2"/>
            <scheme val="minor"/>
          </rPr>
          <t>======
ID#AAABtRcYXm8
Beth Moore    (2021-05-06 16:14:06)
Metric Tons CO2 are converted into Metric Tons Carbon Equivalent by multiplying by the molecular weight ratio of carbon to carbon dioxide, or (12/44).</t>
        </r>
      </text>
    </comment>
    <comment ref="AH18" authorId="0" shapeId="0" xr:uid="{00000000-0006-0000-0B00-000001000000}">
      <text>
        <r>
          <rPr>
            <sz val="8"/>
            <color rgb="FF000000"/>
            <rFont val="Calibri"/>
            <family val="2"/>
            <scheme val="minor"/>
          </rPr>
          <t>======
ID#AAABtRcYXmE
    (2025-10-28 11:09:05)
Estimated from 100-yr emissions using 2019 ratio of 20-yr/100-yr</t>
        </r>
      </text>
    </comment>
    <comment ref="H21" authorId="0" shapeId="0" xr:uid="{00000000-0006-0000-0B00-000008000000}">
      <text>
        <r>
          <rPr>
            <sz val="8"/>
            <color rgb="FF000000"/>
            <rFont val="Calibri"/>
            <family val="2"/>
            <scheme val="minor"/>
          </rPr>
          <t>======
ID#AAABtRcYXsI
rthunell    (2021-05-06 16:14:06)
GWP SF6 = 23,900</t>
        </r>
      </text>
    </comment>
    <comment ref="J21" authorId="0" shapeId="0" xr:uid="{00000000-0006-0000-0B00-000002000000}">
      <text>
        <r>
          <rPr>
            <sz val="8"/>
            <color rgb="FF000000"/>
            <rFont val="Calibri"/>
            <family val="2"/>
            <scheme val="minor"/>
          </rPr>
          <t>======
ID#AAABtRcYXrQ
Beth Moore    (2021-05-06 16:14:06)
Metric Tons CO2 are converted into Metric Tons Carbon Equivalent by multiplying by the GWP of SF6 (23,900) and the molecular weight ratio of carbon to carbon dioxide (12/44).</t>
        </r>
      </text>
    </comment>
    <comment ref="L21" authorId="0" shapeId="0" xr:uid="{00000000-0006-0000-0B00-000003000000}">
      <text>
        <r>
          <rPr>
            <sz val="8"/>
            <color rgb="FF000000"/>
            <rFont val="Calibri"/>
            <family val="2"/>
            <scheme val="minor"/>
          </rPr>
          <t>======
ID#AAABtRcYXow
Beth Moore    (2021-05-06 16:14:06)
Metric Tons CO2 are converted into Metric Tons Carbon Equivalent by multiplying by the GWP of SF6 (23,900) and the molecular weight ratio of carbon to carbon dioxide (12/44).</t>
        </r>
      </text>
    </comment>
    <comment ref="J26" authorId="0" shapeId="0" xr:uid="{00000000-0006-0000-0B00-000005000000}">
      <text>
        <r>
          <rPr>
            <sz val="8"/>
            <color rgb="FF000000"/>
            <rFont val="Calibri"/>
            <family val="2"/>
            <scheme val="minor"/>
          </rPr>
          <t>======
ID#AAABtRN1NQI
rthunell    (2021-05-06 16:14:06)
Metric Tons CO2 are converted into Metric Tons Carbon Equivalent by multiplying by the molecular weight ratio of carbon to carbon dioxide, or (12/44).</t>
        </r>
      </text>
    </comment>
    <comment ref="L26" authorId="0" shapeId="0" xr:uid="{00000000-0006-0000-0B00-000006000000}">
      <text>
        <r>
          <rPr>
            <sz val="8"/>
            <color rgb="FF000000"/>
            <rFont val="Calibri"/>
            <family val="2"/>
            <scheme val="minor"/>
          </rPr>
          <t>======
ID#AAABtRcYXnA
Beth Moore    (2021-05-06 16:14:06)
Metric Tons CO2 are converted into Metric Tons Carbon Equivalent by multiplying by the molecular weight ratio of carbon to carbon dioxide, or (12/44).</t>
        </r>
      </text>
    </comment>
  </commentList>
  <extLst>
    <ext xmlns:r="http://schemas.openxmlformats.org/officeDocument/2006/relationships" uri="GoogleSheetsCustomDataVersion2">
      <go:sheetsCustomData xmlns:go="http://customooxmlschemas.google.com/" r:id="rId1" roundtripDataSignature="AMtx7mjZu3dCRk6K6EujBxXWd0GZrZslSw=="/>
    </ext>
  </extL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8A2AD18E-CE97-4FE4-A31B-F7C0F3BC43F9}">
      <text>
        <r>
          <rPr>
            <sz val="8"/>
            <color rgb="FF000000"/>
            <rFont val="Calibri"/>
            <family val="2"/>
            <scheme val="minor"/>
          </rPr>
          <t>Proxy for PFC/PFPEs. See notes in above section.
======</t>
        </r>
      </text>
    </comment>
    <comment ref="B96" authorId="0" shapeId="0" xr:uid="{6E1F3B60-919A-4C40-A525-FF672E917400}">
      <text>
        <r>
          <rPr>
            <sz val="8"/>
            <color rgb="FF000000"/>
            <rFont val="Calibri"/>
            <family val="2"/>
            <scheme val="minor"/>
          </rPr>
          <t>HCFO-1233zd(E), HFO-1234yf, HFO-1234ze(E), and HFO-1336mzz(Z) do not appear by name in IPCC's AR5, but gases of similar names and chemical formula do appear. While the GWP values in AR5 are presented in rounded form, they are suitable in this application for scaling from AR5 to AR6 for the same time horizon. AR5 values presented as &lt;1 are used here as 0.5.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6EC11DA2-F07E-4664-8334-332AB3C9F75C}">
      <text>
        <r>
          <rPr>
            <sz val="8"/>
            <color rgb="FF000000"/>
            <rFont val="Calibri"/>
            <family val="2"/>
            <scheme val="minor"/>
          </rPr>
          <t>Proxy for PFC/PFPEs. See notes in above section.
======</t>
        </r>
      </text>
    </comment>
    <comment ref="B96" authorId="0" shapeId="0" xr:uid="{3E64AECD-E207-4EE2-9406-D84EE9D2831D}">
      <text>
        <r>
          <rPr>
            <sz val="8"/>
            <color rgb="FF000000"/>
            <rFont val="Calibri"/>
            <family val="2"/>
            <scheme val="minor"/>
          </rPr>
          <t>HCFO-1233zd(E), HFO-1234yf, HFO-1234ze(E), and HFO-1336mzz(Z) do not appear by name in IPCC's AR5. For the purposes of calculating a ratio of 20-yr GWP to 100-yr GWP, values from IPCC's AR6 are used for these gases. Since the ratio would be influenced by the lifetime of the gas moreso than by the warming impact, the use of AR6 values as a proxy is not deemed to introduce significant uncertainty. Gases of similar names and chemical formula appear in AR5, however the GWP values are presented in rounded form, and thus would introduce greater uncertainty than using GWP values from AR6 in this application.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s>
  <commentList>
    <comment ref="H11" authorId="0" shapeId="0" xr:uid="{00000000-0006-0000-0C00-000002000000}">
      <text>
        <r>
          <rPr>
            <sz val="8"/>
            <color rgb="FF000000"/>
            <rFont val="Calibri"/>
            <family val="2"/>
            <scheme val="minor"/>
          </rPr>
          <t>======
ID#AAABtRK0dSQ
Amohammed    (2021-05-06 16:14:06)
Negligible- 2008 ECR</t>
        </r>
      </text>
    </comment>
    <comment ref="H13" authorId="0" shapeId="0" xr:uid="{00000000-0006-0000-0C00-000001000000}">
      <text>
        <r>
          <rPr>
            <sz val="8"/>
            <color rgb="FF000000"/>
            <rFont val="Calibri"/>
            <family val="2"/>
            <scheme val="minor"/>
          </rPr>
          <t>======
ID#AAABtRcYXqA
Amohammed    (2021-05-06 16:14:06)
Negligible- 2008 ECR</t>
        </r>
      </text>
    </comment>
  </commentList>
  <extLst>
    <ext xmlns:r="http://schemas.openxmlformats.org/officeDocument/2006/relationships" uri="GoogleSheetsCustomDataVersion2">
      <go:sheetsCustomData xmlns:go="http://customooxmlschemas.google.com/" r:id="rId1" roundtripDataSignature="AMtx7mgfT/c4ALFjOW36jrO2gwFsmiUU7A=="/>
    </ext>
  </extL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s>
  <commentList>
    <comment ref="I4" authorId="0" shapeId="0" xr:uid="{00000000-0006-0000-0E00-000012000000}">
      <text>
        <r>
          <rPr>
            <sz val="8"/>
            <color rgb="FF000000"/>
            <rFont val="Calibri"/>
            <family val="2"/>
            <scheme val="minor"/>
          </rPr>
          <t>======
ID#AAABtRcYXnw
Philip Groth    (2021-05-06 16:14:06)
Kg of methane are converted to metric tons by dividing by 1000. This is then converted to MMTCH4 by dividing by 1,000,000.</t>
        </r>
      </text>
    </comment>
    <comment ref="K4" authorId="0" shapeId="0" xr:uid="{00000000-0006-0000-0E00-000014000000}">
      <text>
        <r>
          <rPr>
            <sz val="8"/>
            <color rgb="FF000000"/>
            <rFont val="Calibri"/>
            <family val="2"/>
            <scheme val="minor"/>
          </rPr>
          <t>======
ID#AAABtRcYXng
Philip Groth    (2021-05-06 16:14:06)
MMTCH4 are converted to MMTCE by multiply by methane's global warming potential (21) and then 12/44 (to convert from CO2 to C).</t>
        </r>
      </text>
    </comment>
    <comment ref="M4" authorId="0" shapeId="0" xr:uid="{00000000-0006-0000-0E00-000015000000}">
      <text>
        <r>
          <rPr>
            <sz val="8"/>
            <color rgb="FF000000"/>
            <rFont val="Calibri"/>
            <family val="2"/>
            <scheme val="minor"/>
          </rPr>
          <t>======
ID#AAABtRcYXpQ
Philip Groth    (2021-05-06 16:14:06)
MMTCE are converted to MMTCO2E by dividing by 12/44 (to convert from C to CO2).</t>
        </r>
      </text>
    </comment>
    <comment ref="M28" authorId="0" shapeId="0" xr:uid="{00000000-0006-0000-0E00-00000B000000}">
      <text>
        <r>
          <rPr>
            <sz val="8"/>
            <color rgb="FF000000"/>
            <rFont val="Calibri"/>
            <family val="2"/>
            <scheme val="minor"/>
          </rPr>
          <t>======
ID#AAABtRcYXmo
DLekas    (2021-05-06 16:14:06)
Sum of MCF for each animal's management system x Percent of Manure Managed in that system</t>
        </r>
      </text>
    </comment>
    <comment ref="B50" authorId="0" shapeId="0" xr:uid="{00000000-0006-0000-0E00-00001A000000}">
      <text>
        <r>
          <rPr>
            <sz val="8"/>
            <color rgb="FF000000"/>
            <rFont val="Calibri"/>
            <family val="2"/>
            <scheme val="minor"/>
          </rPr>
          <t>======
ID#AAABtRcYXpg
DLekas    (2021-05-06 16:14:06)
Includes:  Pullets laying, Pullets &gt; 3 mo., and Pullets &lt; 3 mo.</t>
        </r>
      </text>
    </comment>
    <comment ref="B52" authorId="0" shapeId="0" xr:uid="{00000000-0006-0000-0E00-000017000000}">
      <text>
        <r>
          <rPr>
            <sz val="8"/>
            <color rgb="FF000000"/>
            <rFont val="Calibri"/>
            <family val="2"/>
            <scheme val="minor"/>
          </rPr>
          <t>======
ID#AAABtRcYXps
DLekas    (2021-05-06 16:14:06)
Includes: Regular Broilers, Other (Lost), and Other (Sold)</t>
        </r>
      </text>
    </comment>
    <comment ref="B55" authorId="0" shapeId="0" xr:uid="{00000000-0006-0000-0E00-000009000000}">
      <text>
        <r>
          <rPr>
            <sz val="8"/>
            <color rgb="FF000000"/>
            <rFont val="Calibri"/>
            <family val="2"/>
            <scheme val="minor"/>
          </rPr>
          <t>======
ID#AAABtRcYXrY
Katrin Peterson    (2021-05-06 16:14:06)
Sheep on feed that are in feedlots were assumed to be manged using a dry lot system, all others were assumed to be PRP.</t>
        </r>
      </text>
    </comment>
    <comment ref="S62" authorId="0" shapeId="0" xr:uid="{00000000-0006-0000-0E00-00001F000000}">
      <text>
        <r>
          <rPr>
            <sz val="8"/>
            <color rgb="FF000000"/>
            <rFont val="Calibri"/>
            <family val="2"/>
            <scheme val="minor"/>
          </rPr>
          <t>======
ID#AAABtRcYXpA
Philip Groth    (2021-05-06 16:14:06)
MTCE are converted to MMTCE by dividing by 1,000,000.</t>
        </r>
      </text>
    </comment>
    <comment ref="B77" authorId="0" shapeId="0" xr:uid="{00000000-0006-0000-0E00-000020000000}">
      <text>
        <r>
          <rPr>
            <sz val="8"/>
            <color rgb="FF000000"/>
            <rFont val="Calibri"/>
            <family val="2"/>
            <scheme val="minor"/>
          </rPr>
          <t>======
ID#AAABtRcYXrc
DLekas    (2021-05-06 16:14:06)
Includes: Regular Broilers, Other (Lost), and Other (Sold)</t>
        </r>
      </text>
    </comment>
    <comment ref="E89" authorId="0" shapeId="0" xr:uid="{00000000-0006-0000-0E00-000016000000}">
      <text>
        <r>
          <rPr>
            <sz val="8"/>
            <color rgb="FF000000"/>
            <rFont val="Calibri"/>
            <family val="2"/>
            <scheme val="minor"/>
          </rPr>
          <t>======
ID#AAABtRcYXqQ
DLekas    (2021-05-06 16:14:06)
This data can be obtained departments in each state responsible for agricultural research.  USDA: http://www.nass.usda.gov/Data_and_Statistics/index.asp</t>
        </r>
      </text>
    </comment>
    <comment ref="G89" authorId="0" shapeId="0" xr:uid="{00000000-0006-0000-0E00-000018000000}">
      <text>
        <r>
          <rPr>
            <sz val="8"/>
            <color rgb="FF000000"/>
            <rFont val="Calibri"/>
            <family val="2"/>
            <scheme val="minor"/>
          </rPr>
          <t>======
ID#AAABtRcYXlI
J Casola    (2021-05-06 16:14:06)
Corn for Grain, All Wheat, Barley, Sorghum, Oats, Rye, and Soybeans back-calculated from bushel and tonnage values found in "Field Crops, Final Estimates, 1992-1997" SB 947a USDA/NASS. Other crops assumed conversion 0.027215</t>
        </r>
      </text>
    </comment>
    <comment ref="I89" authorId="0" shapeId="0" xr:uid="{00000000-0006-0000-0E00-00001B000000}">
      <text>
        <r>
          <rPr>
            <sz val="8"/>
            <color rgb="FF000000"/>
            <rFont val="Calibri"/>
            <family val="2"/>
            <scheme val="minor"/>
          </rPr>
          <t>======
ID#AAABtRcYXqs
DLekas    (2021-05-06 16:14:06)
EIIP 1999 &amp; EPA 2001</t>
        </r>
      </text>
    </comment>
    <comment ref="AC89" authorId="0" shapeId="0" xr:uid="{00000000-0006-0000-0E00-000004000000}">
      <text>
        <r>
          <rPr>
            <sz val="8"/>
            <color rgb="FF000000"/>
            <rFont val="Calibri"/>
            <family val="2"/>
            <scheme val="minor"/>
          </rPr>
          <t>======
ID#AAABtRcYXq8
Philip Groth    (2021-05-06 16:14:06)
Metric tons N2O are converted to MMTCE by multiplying by the N2O global warming potential (310 N2O/CO2). multiplying by 12/44 (to convert from CO2 to C), and then dividing by 1,000,000.</t>
        </r>
      </text>
    </comment>
    <comment ref="AE89" authorId="0" shapeId="0" xr:uid="{00000000-0006-0000-0E00-000007000000}">
      <text>
        <r>
          <rPr>
            <sz val="8"/>
            <color rgb="FF000000"/>
            <rFont val="Calibri"/>
            <family val="2"/>
            <scheme val="minor"/>
          </rPr>
          <t>======
ID#AAABtRN1NQE
Philip Groth    (2021-05-06 16:14:06)
MMTCE are converted to MMTCO2E by dividing by 12/44 (to convert from C to CO2).</t>
        </r>
      </text>
    </comment>
    <comment ref="E115" authorId="0" shapeId="0" xr:uid="{00000000-0006-0000-0E00-00000C000000}">
      <text>
        <r>
          <rPr>
            <sz val="8"/>
            <color rgb="FF000000"/>
            <rFont val="Calibri"/>
            <family val="2"/>
            <scheme val="minor"/>
          </rPr>
          <t>======
ID#AAABtRcYXqU
DLekas    (2021-05-06 16:14:06)
According to the US Inventory, 65% of the fertilizer consumption takes place from Jan-June and 35% from July-Dec.</t>
        </r>
      </text>
    </comment>
    <comment ref="S115" authorId="0" shapeId="0" xr:uid="{00000000-0006-0000-0E00-00000F000000}">
      <text>
        <r>
          <rPr>
            <sz val="8"/>
            <color rgb="FF000000"/>
            <rFont val="Calibri"/>
            <family val="2"/>
            <scheme val="minor"/>
          </rPr>
          <t>======
ID#AAABtRcYXrI
Philip Groth    (2021-05-06 16:14:06)
Metric tons N2O are converted to MMTCE by multiplying by the N2O global warming potential (310 N2O/CO2). multiplying by 12/44 (to convert from CO2 to C), and then dividing by 1,000,000.</t>
        </r>
      </text>
    </comment>
    <comment ref="U115" authorId="0" shapeId="0" xr:uid="{00000000-0006-0000-0E00-000010000000}">
      <text>
        <r>
          <rPr>
            <sz val="8"/>
            <color rgb="FF000000"/>
            <rFont val="Calibri"/>
            <family val="2"/>
            <scheme val="minor"/>
          </rPr>
          <t>======
ID#AAABtRcYXlU
Philip Groth    (2021-05-06 16:14:06)
Metric tons N2O are converted to MMTCE by multiplying by the N2O global warming potential (310 N2O/CO2). multiplying by 12/44 (to convert from CO2 to C), and then dividing by 1,000,000.</t>
        </r>
      </text>
    </comment>
    <comment ref="W115" authorId="0" shapeId="0" xr:uid="{00000000-0006-0000-0E00-000011000000}">
      <text>
        <r>
          <rPr>
            <sz val="8"/>
            <color rgb="FF000000"/>
            <rFont val="Calibri"/>
            <family val="2"/>
            <scheme val="minor"/>
          </rPr>
          <t>======
ID#AAABtRcYXlQ
Philip Groth    (2021-05-06 16:14:06)
MMTCE are converted to MMTCO2E by dividing by 12/44 (to convert from C to CO2).</t>
        </r>
      </text>
    </comment>
    <comment ref="Y115" authorId="0" shapeId="0" xr:uid="{00000000-0006-0000-0E00-000013000000}">
      <text>
        <r>
          <rPr>
            <sz val="8"/>
            <color rgb="FF000000"/>
            <rFont val="Calibri"/>
            <family val="2"/>
            <scheme val="minor"/>
          </rPr>
          <t>======
ID#AAABtRcYXqw
Philip Groth    (2021-05-06 16:14:06)
MMTCE are converted to MMTCO2E by dividing by 12/44 (to convert from C to CO2).</t>
        </r>
      </text>
    </comment>
    <comment ref="O116" authorId="0" shapeId="0" xr:uid="{00000000-0006-0000-0E00-000025000000}">
      <text>
        <r>
          <rPr>
            <sz val="8"/>
            <color rgb="FF000000"/>
            <rFont val="Calibri"/>
            <family val="2"/>
            <scheme val="minor"/>
          </rPr>
          <t>======
ID#AAABtRcYXog
rthunell    (2021-05-06 16:14:06)
Emissions = 
(Activity/kg_ MT CF) x EF_Dir x N2O_N2 CF
kg_MT CF = 1000
EF_DIR = 0.01
N2O_N2 CF = 44/28</t>
        </r>
      </text>
    </comment>
    <comment ref="Q116" authorId="0" shapeId="0" xr:uid="{00000000-0006-0000-0E00-000027000000}">
      <text>
        <r>
          <rPr>
            <sz val="8"/>
            <color rgb="FF000000"/>
            <rFont val="Calibri"/>
            <family val="2"/>
            <scheme val="minor"/>
          </rPr>
          <t>======
ID#AAABtRcYXq0
rthunell    (2021-05-06 16:14:06)
rthunell:
Emissions = 
(Activity/kg_ MT CF) x EF_VOL x N2O_N2 CF
kg_MT CF = 1000
EF_VOL = 0.01
N2O_N2 CF = 44/28</t>
        </r>
      </text>
    </comment>
    <comment ref="K117" authorId="0" shapeId="0" xr:uid="{00000000-0006-0000-0E00-00000D000000}">
      <text>
        <r>
          <rPr>
            <sz val="8"/>
            <color rgb="FF000000"/>
            <rFont val="Calibri"/>
            <family val="2"/>
            <scheme val="minor"/>
          </rPr>
          <t>======
ID#AAABtRcYXoU
DLekas    (2021-05-06 16:14:06)
According to the IPCC Good Practice Guidance, the manure portion of organic fertilizers is subtracted from the total of organic fertilizers.</t>
        </r>
      </text>
    </comment>
    <comment ref="M117" authorId="0" shapeId="0" xr:uid="{00000000-0006-0000-0E00-00000E000000}">
      <text>
        <r>
          <rPr>
            <sz val="8"/>
            <color rgb="FF000000"/>
            <rFont val="Calibri"/>
            <family val="2"/>
            <scheme val="minor"/>
          </rPr>
          <t>======
ID#AAABtRcYXrs
DLekas    (2021-05-06 16:14:06)
According to the IPCC Good Practice Guidance, the manure portion of organic fertilizers is subtracted from the total of organic fertilizers.</t>
        </r>
      </text>
    </comment>
    <comment ref="B127" authorId="0" shapeId="0" xr:uid="{00000000-0006-0000-0E00-000003000000}">
      <text>
        <r>
          <rPr>
            <sz val="8"/>
            <color rgb="FF000000"/>
            <rFont val="Calibri"/>
            <family val="2"/>
            <scheme val="minor"/>
          </rPr>
          <t>======
ID#AAABtRcYXp8
DLekas    (2021-05-06 16:14:06)
According to the IPCC Good Practice Guidance, the manure portion of organic fertilizers is subtracted from the total of organic fertilizers.</t>
        </r>
      </text>
    </comment>
    <comment ref="B143" authorId="0" shapeId="0" xr:uid="{00000000-0006-0000-0E00-00001E000000}">
      <text>
        <r>
          <rPr>
            <sz val="8"/>
            <color rgb="FF000000"/>
            <rFont val="Calibri"/>
            <family val="2"/>
            <scheme val="minor"/>
          </rPr>
          <t>======
ID#AAABtRcYXn0
DLekas    (2021-05-06 16:14:06)
According to the IPCC Good Practice Guidance, the manure portion of organic fertilizers is subtracted from the total of organic fertilizers.</t>
        </r>
      </text>
    </comment>
    <comment ref="E147" authorId="0" shapeId="0" xr:uid="{00000000-0006-0000-0E00-00001D000000}">
      <text>
        <r>
          <rPr>
            <sz val="8"/>
            <color rgb="FF000000"/>
            <rFont val="Calibri"/>
            <family val="2"/>
            <scheme val="minor"/>
          </rPr>
          <t>======
ID#AAABtRcYXlg
rthunell    (2021-05-06 16:14:06)
TAM: Typical Animal Mass</t>
        </r>
      </text>
    </comment>
    <comment ref="K147" authorId="0" shapeId="0" xr:uid="{00000000-0006-0000-0E00-000023000000}">
      <text>
        <r>
          <rPr>
            <sz val="8"/>
            <color rgb="FF000000"/>
            <rFont val="Calibri"/>
            <family val="2"/>
            <scheme val="minor"/>
          </rPr>
          <t>======
ID#AAABtRcYXn8
DLekas    (2021-05-06 16:14:06)
Volatilization = 20%; 
NH3-NOx EF (kg N2O/kg N) = 0.01</t>
        </r>
      </text>
    </comment>
    <comment ref="S147" authorId="0" shapeId="0" xr:uid="{00000000-0006-0000-0E00-000001000000}">
      <text>
        <r>
          <rPr>
            <sz val="8"/>
            <color rgb="FF000000"/>
            <rFont val="Calibri"/>
            <family val="2"/>
            <scheme val="minor"/>
          </rPr>
          <t>======
ID#AAABtRcYXrU
rthunell    (2021-05-06 16:14:06)
Volatilization = 20%; 
NonVOL EF (kg N2O/kg N) = 0.0125
Poultry Not Managed = 0.042</t>
        </r>
      </text>
    </comment>
    <comment ref="U147" authorId="0" shapeId="0" xr:uid="{00000000-0006-0000-0E00-000002000000}">
      <text>
        <r>
          <rPr>
            <sz val="8"/>
            <color rgb="FF000000"/>
            <rFont val="Calibri"/>
            <family val="2"/>
            <scheme val="minor"/>
          </rPr>
          <t>======
ID#AAABtRcYXro
rthunell    (2021-05-06 16:14:06)
prtEF = 0.02</t>
        </r>
      </text>
    </comment>
    <comment ref="W147" authorId="0" shapeId="0" xr:uid="{00000000-0006-0000-0E00-000005000000}">
      <text>
        <r>
          <rPr>
            <sz val="8"/>
            <color rgb="FF000000"/>
            <rFont val="Calibri"/>
            <family val="2"/>
            <scheme val="minor"/>
          </rPr>
          <t>======
ID#AAABtRK0dSI
rthunell    (2021-05-06 16:14:06)
Leach EF = 0.30
Runoff/Leach EF = 0.0075</t>
        </r>
      </text>
    </comment>
    <comment ref="BN147" authorId="0" shapeId="0" xr:uid="{00000000-0006-0000-0E00-000019000000}">
      <text>
        <r>
          <rPr>
            <sz val="8"/>
            <color rgb="FF000000"/>
            <rFont val="Calibri"/>
            <family val="2"/>
            <scheme val="minor"/>
          </rPr>
          <t>======
ID#AAABtRcYXrk
DLekas    (2021-05-06 16:14:06)
Source: EIIP Table 7.4.6</t>
        </r>
      </text>
    </comment>
    <comment ref="BQ147" authorId="0" shapeId="0" xr:uid="{00000000-0006-0000-0E00-00001C000000}">
      <text>
        <r>
          <rPr>
            <sz val="8"/>
            <color rgb="FF000000"/>
            <rFont val="Calibri"/>
            <family val="2"/>
            <scheme val="minor"/>
          </rPr>
          <t>======
ID#AAABtRcYXrw
DLekas    (2021-05-06 16:14:06)
Source: EIIP Table 7.4.7</t>
        </r>
      </text>
    </comment>
    <comment ref="BU147" authorId="0" shapeId="0" xr:uid="{00000000-0006-0000-0E00-000021000000}">
      <text>
        <r>
          <rPr>
            <sz val="8"/>
            <color rgb="FF000000"/>
            <rFont val="Calibri"/>
            <family val="2"/>
            <scheme val="minor"/>
          </rPr>
          <t>======
ID#AAABtRcYXp0
DLekas    (2021-05-06 16:14:06)
US Inventory
0% was assumed for both on feed and not on feed sheep for states without sheep data</t>
        </r>
      </text>
    </comment>
    <comment ref="BY147" authorId="0" shapeId="0" xr:uid="{00000000-0006-0000-0E00-000024000000}">
      <text>
        <r>
          <rPr>
            <sz val="8"/>
            <color rgb="FF000000"/>
            <rFont val="Calibri"/>
            <family val="2"/>
            <scheme val="minor"/>
          </rPr>
          <t>======
ID#AAABtRcYXlo
DLekas    (2021-05-06 16:14:06)
Pgroth: Changed to 100% PRP in 1/03 per discussion w/Joe Mangino.</t>
        </r>
      </text>
    </comment>
    <comment ref="CB147" authorId="0" shapeId="0" xr:uid="{00000000-0006-0000-0E00-000026000000}">
      <text>
        <r>
          <rPr>
            <sz val="8"/>
            <color rgb="FF000000"/>
            <rFont val="Calibri"/>
            <family val="2"/>
            <scheme val="minor"/>
          </rPr>
          <t>======
ID#AAABtRcYXpE
DLekas    (2021-05-06 16:14:06)
Pgroth: Changed to 100% PRP in 1/03 per discussion w/Joe Mangino.</t>
        </r>
      </text>
    </comment>
    <comment ref="BI148" authorId="0" shapeId="0" xr:uid="{00000000-0006-0000-0E00-000008000000}">
      <text>
        <r>
          <rPr>
            <sz val="8"/>
            <color rgb="FF000000"/>
            <rFont val="Calibri"/>
            <family val="2"/>
            <scheme val="minor"/>
          </rPr>
          <t>======
ID#AAABtRcYXoE
Philip Groth    (2021-05-06 16:14:06)
ERG:
Assumed "Other" Systems fall into a category with an emission factor similar to solid storage.</t>
        </r>
      </text>
    </comment>
    <comment ref="B158" authorId="0" shapeId="0" xr:uid="{00000000-0006-0000-0E00-000006000000}">
      <text>
        <r>
          <rPr>
            <sz val="8"/>
            <color rgb="FF000000"/>
            <rFont val="Calibri"/>
            <family val="2"/>
            <scheme val="minor"/>
          </rPr>
          <t>======
ID#AAABtRcYXnY
12796    (2021-05-06 16:14:06)
Includes Heifer Stockers and Beef Replacement Heifers.</t>
        </r>
      </text>
    </comment>
    <comment ref="B170" authorId="0" shapeId="0" xr:uid="{00000000-0006-0000-0E00-000022000000}">
      <text>
        <r>
          <rPr>
            <sz val="8"/>
            <color rgb="FF000000"/>
            <rFont val="Calibri"/>
            <family val="2"/>
            <scheme val="minor"/>
          </rPr>
          <t>======
ID#AAABtRcYXl8
DLekas    (2021-05-06 16:14:06)
Includes: Regular Broilers, Other (Lost), and Other (Sold)</t>
        </r>
      </text>
    </comment>
    <comment ref="G187" authorId="0" shapeId="0" xr:uid="{00000000-0006-0000-0E00-00000A000000}">
      <text>
        <r>
          <rPr>
            <sz val="8"/>
            <color rgb="FF000000"/>
            <rFont val="Calibri"/>
            <family val="2"/>
            <scheme val="minor"/>
          </rPr>
          <t>======
ID#AAABtRcYXpw
J Casola    (2021-05-06 16:14:06)
Corn for Grain, All Wheat, Barley, Sorghum, Oats, Rye, and Soybeans back-calculated from bushel and tonnage values found in "Field Crops, Final Estimates, 1992-1997" SB 947a USDA/NASS. Other crops assumed conversion 0.027215</t>
        </r>
      </text>
    </comment>
  </commentList>
  <extLst>
    <ext xmlns:r="http://schemas.openxmlformats.org/officeDocument/2006/relationships" uri="GoogleSheetsCustomDataVersion2">
      <go:sheetsCustomData xmlns:go="http://customooxmlschemas.google.com/" r:id="rId1" roundtripDataSignature="AMtx7mi+1Ck5DlUMxYI5pVMGCITom1sSAw=="/>
    </ext>
  </extL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
  </authors>
  <commentList>
    <comment ref="I16" authorId="0" shapeId="0" xr:uid="{00000000-0006-0000-1000-000003000000}">
      <text>
        <r>
          <rPr>
            <sz val="8"/>
            <color rgb="FF000000"/>
            <rFont val="Calibri"/>
            <family val="2"/>
            <scheme val="minor"/>
          </rPr>
          <t>======
ID#AAABtRcYXr8
Amohammed    (2021-05-06 16:14:06)
From 2006 Annual Emission Certification Report</t>
        </r>
      </text>
    </comment>
    <comment ref="B26" authorId="0" shapeId="0" xr:uid="{00000000-0006-0000-1000-000002000000}">
      <text>
        <r>
          <rPr>
            <sz val="8"/>
            <color rgb="FF000000"/>
            <rFont val="Calibri"/>
            <family val="2"/>
            <scheme val="minor"/>
          </rPr>
          <t>======
ID#AAABtRcYXn4
Amohammed    (2021-05-06 16:14:06)
Table C-1 To Subpart C of Part 98 MGGGRR)</t>
        </r>
      </text>
    </comment>
    <comment ref="B28" authorId="0" shapeId="0" xr:uid="{00000000-0006-0000-1000-000001000000}">
      <text>
        <r>
          <rPr>
            <sz val="8"/>
            <color rgb="FF000000"/>
            <rFont val="Calibri"/>
            <family val="2"/>
            <scheme val="minor"/>
          </rPr>
          <t>======
ID#AAABtRcYXqE
Amohammed    (2021-05-06 16:14:06)
Table C-1 To Subpart C of Part 98 MGGGRR)</t>
        </r>
      </text>
    </comment>
    <comment ref="B39" authorId="0" shapeId="0" xr:uid="{00000000-0006-0000-1000-000004000000}">
      <text>
        <r>
          <rPr>
            <sz val="8"/>
            <color rgb="FF000000"/>
            <rFont val="Calibri"/>
            <family val="2"/>
            <scheme val="minor"/>
          </rPr>
          <t>======
ID#AAABtRcYXpY
Amohammed    (2021-05-06 16:14:06)
Table C-1 To Subpart C of Part 98 MGGGRR)</t>
        </r>
      </text>
    </comment>
  </commentList>
  <extLst>
    <ext xmlns:r="http://schemas.openxmlformats.org/officeDocument/2006/relationships" uri="GoogleSheetsCustomDataVersion2">
      <go:sheetsCustomData xmlns:go="http://customooxmlschemas.google.com/" r:id="rId1" roundtripDataSignature="AMtx7mhUS+pkk78vooDQu1JSk5O/6bw4GQ=="/>
    </ext>
  </extL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
  </authors>
  <commentList>
    <comment ref="C21" authorId="0" shapeId="0" xr:uid="{00000000-0006-0000-1200-000004000000}">
      <text>
        <r>
          <rPr>
            <sz val="8"/>
            <color rgb="FF000000"/>
            <rFont val="Calibri"/>
            <family val="2"/>
            <scheme val="minor"/>
          </rPr>
          <t>Defaults SIT
======</t>
        </r>
      </text>
    </comment>
    <comment ref="C28" authorId="0" shapeId="0" xr:uid="{00000000-0006-0000-1200-000002000000}">
      <text>
        <r>
          <rPr>
            <sz val="8"/>
            <color rgb="FF000000"/>
            <rFont val="Calibri"/>
            <family val="2"/>
            <scheme val="minor"/>
          </rPr>
          <t>US Total Poultry Slaughtered apportion to State By USDA Young Chicken Slaughtered.
======</t>
        </r>
      </text>
    </comment>
    <comment ref="C36" authorId="0" shapeId="0" xr:uid="{00000000-0006-0000-1200-000005000000}">
      <text>
        <r>
          <rPr>
            <sz val="8"/>
            <color rgb="FF000000"/>
            <rFont val="Calibri"/>
            <family val="2"/>
            <scheme val="minor"/>
          </rPr>
          <t>Ave. of Available 2011,2014,2015,2016&amp; 2017 data
======</t>
        </r>
      </text>
    </comment>
    <comment ref="E36" authorId="0" shapeId="0" xr:uid="{00000000-0006-0000-1200-000001000000}">
      <text>
        <r>
          <rPr>
            <sz val="8"/>
            <color rgb="FF000000"/>
            <rFont val="Calibri"/>
            <family val="2"/>
            <scheme val="minor"/>
          </rPr>
          <t>Ave. of Available 2011,2014,2015,2016 &amp;2017 Data
======</t>
        </r>
      </text>
    </comment>
    <comment ref="C43" authorId="0" shapeId="0" xr:uid="{00000000-0006-0000-1200-000003000000}">
      <text>
        <r>
          <rPr>
            <sz val="8"/>
            <color rgb="FF000000"/>
            <rFont val="Calibri"/>
            <family val="2"/>
            <scheme val="minor"/>
          </rPr>
          <t>2007-Apple Utilized +2007 Peaches Utilized +2006 Potatoes Production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1E766AA2-4074-431C-BC9D-5262B11048B0}">
      <text>
        <r>
          <rPr>
            <sz val="8"/>
            <color rgb="FF000000"/>
            <rFont val="Calibri"/>
            <family val="2"/>
            <scheme val="minor"/>
          </rPr>
          <t>There is a discontinuity in the time series between 1999 and 2000 due to a change in the land cover change dataset utilized.
======</t>
        </r>
      </text>
    </comment>
    <comment ref="D228" authorId="0" shapeId="0" xr:uid="{BB6BE820-4B99-4827-AB04-1372E699AC36}">
      <text>
        <r>
          <rPr>
            <sz val="8"/>
            <color rgb="FF000000"/>
            <rFont val="Calibri"/>
            <family val="2"/>
            <scheme val="minor"/>
          </rPr>
          <t>Taken as ratio to methane emission from reservoir surface
======</t>
        </r>
      </text>
    </comment>
    <comment ref="D241" authorId="0" shapeId="0" xr:uid="{C608416E-C9FE-4E6E-A17D-BCB3BA62320F}">
      <text>
        <r>
          <rPr>
            <sz val="8"/>
            <color rgb="FF000000"/>
            <rFont val="Calibri"/>
            <family val="2"/>
            <scheme val="minor"/>
          </rPr>
          <t>Taken as ratio to methane emission from reservoir surface
======</t>
        </r>
      </text>
    </comment>
  </commentList>
</comments>
</file>

<file path=xl/sharedStrings.xml><?xml version="1.0" encoding="utf-8"?>
<sst xmlns="http://schemas.openxmlformats.org/spreadsheetml/2006/main" count="6418" uniqueCount="1761">
  <si>
    <t>Maryland 2006 GHG Emissions by Sector</t>
  </si>
  <si>
    <t>Global Warming Potential</t>
  </si>
  <si>
    <t>AR5 100-yr GWP</t>
  </si>
  <si>
    <t>CO2</t>
  </si>
  <si>
    <t>CH4</t>
  </si>
  <si>
    <t>N2O</t>
  </si>
  <si>
    <t>Electric Power Production (RGGI Units) and CO2 Emissions in Maryland</t>
  </si>
  <si>
    <t>SF6</t>
  </si>
  <si>
    <t>HFCs &amp; PFCs</t>
  </si>
  <si>
    <t>see note</t>
  </si>
  <si>
    <t>Electric Power Production (Non-RGGI Units) Emissions in Maryland</t>
  </si>
  <si>
    <t>Projected Electric Consumption (Imported Electricity) Emissions for Maryland</t>
  </si>
  <si>
    <r>
      <rPr>
        <b/>
        <sz val="11"/>
        <color rgb="FFFFFFFF"/>
        <rFont val="Calibri"/>
        <family val="2"/>
      </rPr>
      <t>MMTCO</t>
    </r>
    <r>
      <rPr>
        <b/>
        <vertAlign val="subscript"/>
        <sz val="11"/>
        <color rgb="FFFFFFFF"/>
        <rFont val="Calibri"/>
        <family val="2"/>
      </rPr>
      <t>2</t>
    </r>
    <r>
      <rPr>
        <b/>
        <sz val="11"/>
        <color rgb="FFFFFFFF"/>
        <rFont val="Calibri"/>
        <family val="2"/>
      </rPr>
      <t>e</t>
    </r>
  </si>
  <si>
    <t>20-year GWP</t>
  </si>
  <si>
    <t>100-year GWP</t>
  </si>
  <si>
    <r>
      <rPr>
        <sz val="11"/>
        <color theme="1"/>
        <rFont val="Calibri"/>
        <family val="2"/>
      </rPr>
      <t>Energy Use (CO</t>
    </r>
    <r>
      <rPr>
        <vertAlign val="subscript"/>
        <sz val="11"/>
        <color theme="1"/>
        <rFont val="Calibri"/>
        <family val="2"/>
      </rPr>
      <t>2</t>
    </r>
    <r>
      <rPr>
        <sz val="11"/>
        <color theme="1"/>
        <rFont val="Calibri"/>
        <family val="2"/>
      </rPr>
      <t>, CH</t>
    </r>
    <r>
      <rPr>
        <vertAlign val="subscript"/>
        <sz val="11"/>
        <color theme="1"/>
        <rFont val="Calibri"/>
        <family val="2"/>
      </rPr>
      <t>4</t>
    </r>
    <r>
      <rPr>
        <sz val="11"/>
        <color theme="1"/>
        <rFont val="Calibri"/>
        <family val="2"/>
      </rPr>
      <t>, N</t>
    </r>
    <r>
      <rPr>
        <vertAlign val="subscript"/>
        <sz val="11"/>
        <color theme="1"/>
        <rFont val="Calibri"/>
        <family val="2"/>
      </rPr>
      <t>2</t>
    </r>
    <r>
      <rPr>
        <sz val="11"/>
        <color theme="1"/>
        <rFont val="Calibri"/>
        <family val="2"/>
      </rPr>
      <t>O)</t>
    </r>
  </si>
  <si>
    <t>RGGI COAL COMBUSTION BY UNIT</t>
  </si>
  <si>
    <t xml:space="preserve">Plant Name </t>
  </si>
  <si>
    <t>Red = RGGI  Data</t>
  </si>
  <si>
    <t>Equipment Description</t>
  </si>
  <si>
    <t>Fuel Type</t>
  </si>
  <si>
    <t>Usage</t>
  </si>
  <si>
    <t>Usage Unit</t>
  </si>
  <si>
    <t>Heat Content</t>
  </si>
  <si>
    <t>Heat Content Unit</t>
  </si>
  <si>
    <t>Fuel Heat Input
(MMBTU)</t>
  </si>
  <si>
    <t>Fuel Consumption For Electricity Generation</t>
  </si>
  <si>
    <t>NON-RGGI DISTILLATE OIL COMBUSTION BY UNIT</t>
  </si>
  <si>
    <t>Electricity Use (Consumption)</t>
  </si>
  <si>
    <t xml:space="preserve">C.P.Crane </t>
  </si>
  <si>
    <t>Plant ID</t>
  </si>
  <si>
    <t>Electricity Production (in-state)</t>
  </si>
  <si>
    <t>4-0091</t>
  </si>
  <si>
    <t>Aux Boiler # 2</t>
  </si>
  <si>
    <t>S-No. 2 Oil</t>
  </si>
  <si>
    <t>gallons</t>
  </si>
  <si>
    <t xml:space="preserve">Heat Content </t>
  </si>
  <si>
    <t>MMBtu/ 1E+03 gal</t>
  </si>
  <si>
    <t>Fuel Heat Input</t>
  </si>
  <si>
    <r>
      <rPr>
        <b/>
        <sz val="10"/>
        <color theme="1"/>
        <rFont val="Arial"/>
        <family val="2"/>
      </rPr>
      <t>CO</t>
    </r>
    <r>
      <rPr>
        <b/>
        <vertAlign val="subscript"/>
        <sz val="10"/>
        <color theme="1"/>
        <rFont val="Arial"/>
        <family val="2"/>
      </rPr>
      <t>2</t>
    </r>
    <r>
      <rPr>
        <b/>
        <sz val="10"/>
        <color theme="1"/>
        <rFont val="Arial"/>
        <family val="2"/>
      </rPr>
      <t xml:space="preserve"> Emmission </t>
    </r>
  </si>
  <si>
    <t>Coal</t>
  </si>
  <si>
    <t>(tons)</t>
  </si>
  <si>
    <t>Units</t>
  </si>
  <si>
    <t>(MMBTU)</t>
  </si>
  <si>
    <t>4-1107</t>
  </si>
  <si>
    <t>Aux Boiler # 3</t>
  </si>
  <si>
    <t>Coal (Short Tons)</t>
  </si>
  <si>
    <r>
      <rPr>
        <sz val="11"/>
        <color theme="1"/>
        <rFont val="Calibri"/>
        <family val="2"/>
      </rPr>
      <t>CO</t>
    </r>
    <r>
      <rPr>
        <vertAlign val="subscript"/>
        <sz val="11"/>
        <color theme="1"/>
        <rFont val="Calibri"/>
        <family val="2"/>
      </rPr>
      <t>2</t>
    </r>
  </si>
  <si>
    <t>4-0089</t>
  </si>
  <si>
    <t>CT (14 MW)</t>
  </si>
  <si>
    <t>(ECR)</t>
  </si>
  <si>
    <t xml:space="preserve">     RGGI</t>
  </si>
  <si>
    <t>Petroleum (Barrels)</t>
  </si>
  <si>
    <t>#2 Fuel Oil</t>
  </si>
  <si>
    <t>Natural Gas (Mcf)</t>
  </si>
  <si>
    <t>001-0203</t>
  </si>
  <si>
    <t>AES WARRIOR RUN COGEN</t>
  </si>
  <si>
    <t>Other Gases (MMBTU)</t>
  </si>
  <si>
    <r>
      <rPr>
        <sz val="11"/>
        <color theme="1"/>
        <rFont val="Calibri"/>
        <family val="2"/>
      </rPr>
      <t>CH</t>
    </r>
    <r>
      <rPr>
        <vertAlign val="subscript"/>
        <sz val="11"/>
        <color theme="1"/>
        <rFont val="Calibri"/>
        <family val="2"/>
      </rPr>
      <t>4</t>
    </r>
  </si>
  <si>
    <t>001-3-0127</t>
  </si>
  <si>
    <t xml:space="preserve">ACF Boiler </t>
  </si>
  <si>
    <r>
      <rPr>
        <sz val="11"/>
        <color theme="1"/>
        <rFont val="Calibri"/>
        <family val="2"/>
      </rPr>
      <t>N</t>
    </r>
    <r>
      <rPr>
        <vertAlign val="subscript"/>
        <sz val="11"/>
        <color theme="1"/>
        <rFont val="Calibri"/>
        <family val="2"/>
      </rPr>
      <t>2</t>
    </r>
    <r>
      <rPr>
        <sz val="11"/>
        <color theme="1"/>
        <rFont val="Calibri"/>
        <family val="2"/>
      </rPr>
      <t>O</t>
    </r>
  </si>
  <si>
    <t>Btu/lb</t>
  </si>
  <si>
    <t>Natural Gas</t>
  </si>
  <si>
    <t>CPSG- Philadelphia Road Power</t>
  </si>
  <si>
    <t xml:space="preserve"> MD In-State Gross Generation (MWh)</t>
  </si>
  <si>
    <r>
      <rPr>
        <sz val="11"/>
        <color theme="1"/>
        <rFont val="Calibri"/>
        <family val="2"/>
      </rPr>
      <t>CO</t>
    </r>
    <r>
      <rPr>
        <vertAlign val="subscript"/>
        <sz val="11"/>
        <color theme="1"/>
        <rFont val="Calibri"/>
        <family val="2"/>
      </rPr>
      <t>2</t>
    </r>
  </si>
  <si>
    <t>4-0431</t>
  </si>
  <si>
    <t>Unit 1 CT</t>
  </si>
  <si>
    <t>No. 2 Oil</t>
  </si>
  <si>
    <t>MMBTU/ 1E+03 gallons</t>
  </si>
  <si>
    <t>003-0468</t>
  </si>
  <si>
    <t xml:space="preserve"> Brandon Shores </t>
  </si>
  <si>
    <r>
      <rPr>
        <sz val="11"/>
        <color theme="1"/>
        <rFont val="Calibri"/>
        <family val="2"/>
      </rPr>
      <t>CH</t>
    </r>
    <r>
      <rPr>
        <vertAlign val="subscript"/>
        <sz val="11"/>
        <color theme="1"/>
        <rFont val="Calibri"/>
        <family val="2"/>
      </rPr>
      <t>4</t>
    </r>
  </si>
  <si>
    <t>Petroleum</t>
  </si>
  <si>
    <t>Unit 1</t>
  </si>
  <si>
    <t>4-0432</t>
  </si>
  <si>
    <t>Unit 2 CT</t>
  </si>
  <si>
    <t>P-Coal</t>
  </si>
  <si>
    <r>
      <rPr>
        <sz val="11"/>
        <color theme="1"/>
        <rFont val="Calibri"/>
        <family val="2"/>
      </rPr>
      <t>N</t>
    </r>
    <r>
      <rPr>
        <vertAlign val="subscript"/>
        <sz val="11"/>
        <color theme="1"/>
        <rFont val="Calibri"/>
        <family val="2"/>
      </rPr>
      <t>2</t>
    </r>
    <r>
      <rPr>
        <sz val="11"/>
        <color theme="1"/>
        <rFont val="Calibri"/>
        <family val="2"/>
      </rPr>
      <t>O</t>
    </r>
  </si>
  <si>
    <t>Other Gases</t>
  </si>
  <si>
    <t>4-0433</t>
  </si>
  <si>
    <t>Unit 3 CT</t>
  </si>
  <si>
    <t>Oil</t>
  </si>
  <si>
    <t>Nuclear</t>
  </si>
  <si>
    <t>Unit 2</t>
  </si>
  <si>
    <t>4-0434</t>
  </si>
  <si>
    <t>Unit 4 CT</t>
  </si>
  <si>
    <r>
      <rPr>
        <sz val="11"/>
        <color theme="1"/>
        <rFont val="Calibri"/>
        <family val="2"/>
      </rPr>
      <t>CO</t>
    </r>
    <r>
      <rPr>
        <vertAlign val="subscript"/>
        <sz val="11"/>
        <color theme="1"/>
        <rFont val="Calibri"/>
        <family val="2"/>
      </rPr>
      <t>2</t>
    </r>
  </si>
  <si>
    <t>Hydroelectric Conventional</t>
  </si>
  <si>
    <t>Wood and Wood Derived Fuels</t>
  </si>
  <si>
    <t>Other Biomass</t>
  </si>
  <si>
    <t>Other</t>
  </si>
  <si>
    <r>
      <rPr>
        <sz val="11"/>
        <color theme="1"/>
        <rFont val="Calibri"/>
        <family val="2"/>
      </rPr>
      <t>CH</t>
    </r>
    <r>
      <rPr>
        <vertAlign val="subscript"/>
        <sz val="11"/>
        <color theme="1"/>
        <rFont val="Calibri"/>
        <family val="2"/>
      </rPr>
      <t>4</t>
    </r>
  </si>
  <si>
    <t xml:space="preserve">Connectiv - Crisfield Generation </t>
  </si>
  <si>
    <t>Total</t>
  </si>
  <si>
    <r>
      <rPr>
        <sz val="11"/>
        <color theme="1"/>
        <rFont val="Calibri"/>
        <family val="2"/>
      </rPr>
      <t>N</t>
    </r>
    <r>
      <rPr>
        <vertAlign val="subscript"/>
        <sz val="11"/>
        <color theme="1"/>
        <rFont val="Calibri"/>
        <family val="2"/>
      </rPr>
      <t>2</t>
    </r>
    <r>
      <rPr>
        <sz val="11"/>
        <color theme="1"/>
        <rFont val="Calibri"/>
        <family val="2"/>
      </rPr>
      <t>O</t>
    </r>
  </si>
  <si>
    <t>039-0017-9-0021</t>
  </si>
  <si>
    <t>24-005-0079</t>
  </si>
  <si>
    <t>Unit 1 General Motors 2.5 MW</t>
  </si>
  <si>
    <t>Btu/gal</t>
  </si>
  <si>
    <t>3-0108</t>
  </si>
  <si>
    <t>Boiler Unit 1</t>
  </si>
  <si>
    <t>Wood</t>
  </si>
  <si>
    <t>MD -Electricity Losses (MWh) (Transmission and Distribution) Assume 6.25 %</t>
  </si>
  <si>
    <r>
      <rPr>
        <sz val="11"/>
        <color theme="1"/>
        <rFont val="Calibri"/>
        <family val="2"/>
      </rPr>
      <t>CO</t>
    </r>
    <r>
      <rPr>
        <vertAlign val="subscript"/>
        <sz val="11"/>
        <color theme="1"/>
        <rFont val="Calibri"/>
        <family val="2"/>
      </rPr>
      <t>2</t>
    </r>
  </si>
  <si>
    <t>039-0017-9-0022</t>
  </si>
  <si>
    <t>Unit 2 General Motors 2.5 MW</t>
  </si>
  <si>
    <t>3-0109</t>
  </si>
  <si>
    <t>Boiler Unit 2</t>
  </si>
  <si>
    <t>039-0017-9-0023</t>
  </si>
  <si>
    <t>Unit 3 General Motors 2.5 MW</t>
  </si>
  <si>
    <r>
      <rPr>
        <sz val="11"/>
        <color theme="1"/>
        <rFont val="Calibri"/>
        <family val="2"/>
      </rPr>
      <t>CH</t>
    </r>
    <r>
      <rPr>
        <vertAlign val="subscript"/>
        <sz val="11"/>
        <color theme="1"/>
        <rFont val="Calibri"/>
        <family val="2"/>
      </rPr>
      <t>4</t>
    </r>
  </si>
  <si>
    <t>T &amp;D Losses</t>
  </si>
  <si>
    <r>
      <rPr>
        <sz val="11"/>
        <color theme="1"/>
        <rFont val="Calibri"/>
        <family val="2"/>
      </rPr>
      <t>N</t>
    </r>
    <r>
      <rPr>
        <vertAlign val="subscript"/>
        <sz val="11"/>
        <color theme="1"/>
        <rFont val="Calibri"/>
        <family val="2"/>
      </rPr>
      <t>2</t>
    </r>
    <r>
      <rPr>
        <sz val="11"/>
        <color theme="1"/>
        <rFont val="Calibri"/>
        <family val="2"/>
      </rPr>
      <t>O</t>
    </r>
  </si>
  <si>
    <t>039-0017-9-0024</t>
  </si>
  <si>
    <t>Unit 4 General Motors 2.5 MW</t>
  </si>
  <si>
    <t xml:space="preserve">Net Imported Electricity </t>
  </si>
  <si>
    <t>033-00014</t>
  </si>
  <si>
    <t>Chalk Point</t>
  </si>
  <si>
    <t>Residential/Commercial/Industrial (RCI) Fuel Use</t>
  </si>
  <si>
    <t>1600-14-30004</t>
  </si>
  <si>
    <t>Btu/ lb</t>
  </si>
  <si>
    <t>1600-14-30005</t>
  </si>
  <si>
    <t>Easton Utility</t>
  </si>
  <si>
    <r>
      <rPr>
        <b/>
        <sz val="10"/>
        <color theme="1"/>
        <rFont val="Open Sans"/>
        <family val="2"/>
      </rPr>
      <t xml:space="preserve"> </t>
    </r>
    <r>
      <rPr>
        <b/>
        <sz val="10"/>
        <color rgb="FF339966"/>
        <rFont val="MS Sans Serif"/>
      </rPr>
      <t>Net MD In-State Electricity Generated (MWh)</t>
    </r>
    <r>
      <rPr>
        <b/>
        <sz val="10"/>
        <color theme="1"/>
        <rFont val="MS Sans Serif"/>
      </rPr>
      <t xml:space="preserve"> =</t>
    </r>
    <r>
      <rPr>
        <b/>
        <sz val="10"/>
        <color rgb="FF0000FF"/>
        <rFont val="MS Sans Serif"/>
      </rPr>
      <t xml:space="preserve"> </t>
    </r>
    <r>
      <rPr>
        <sz val="10"/>
        <color rgb="FF0000FF"/>
        <rFont val="MS Sans Serif"/>
      </rPr>
      <t>MD Gross In-State Electricity Generated</t>
    </r>
    <r>
      <rPr>
        <sz val="10"/>
        <color theme="1"/>
        <rFont val="MS Sans Serif"/>
      </rPr>
      <t xml:space="preserve"> - </t>
    </r>
    <r>
      <rPr>
        <sz val="10"/>
        <color rgb="FFFF0000"/>
        <rFont val="MS Sans Serif"/>
      </rPr>
      <t>T &amp;D Losses</t>
    </r>
  </si>
  <si>
    <t>041-0029-9-0023</t>
  </si>
  <si>
    <r>
      <rPr>
        <sz val="11"/>
        <color theme="1"/>
        <rFont val="Calibri"/>
        <family val="2"/>
      </rPr>
      <t>CO</t>
    </r>
    <r>
      <rPr>
        <vertAlign val="subscript"/>
        <sz val="11"/>
        <color theme="1"/>
        <rFont val="Calibri"/>
        <family val="2"/>
      </rPr>
      <t>2</t>
    </r>
  </si>
  <si>
    <t>MMBTU/ 10E+03 gallons</t>
  </si>
  <si>
    <t>003-0014</t>
  </si>
  <si>
    <t>HERBERT A WAGNER</t>
  </si>
  <si>
    <t>4-0308</t>
  </si>
  <si>
    <t>Net In -State Generated Electricity</t>
  </si>
  <si>
    <t>MMBtu/ tons</t>
  </si>
  <si>
    <t>041-0029-9-0024</t>
  </si>
  <si>
    <r>
      <rPr>
        <sz val="11"/>
        <color theme="1"/>
        <rFont val="Calibri"/>
        <family val="2"/>
      </rPr>
      <t>CH</t>
    </r>
    <r>
      <rPr>
        <vertAlign val="subscript"/>
        <sz val="11"/>
        <color theme="1"/>
        <rFont val="Calibri"/>
        <family val="2"/>
      </rPr>
      <t>4</t>
    </r>
  </si>
  <si>
    <t>3-0003</t>
  </si>
  <si>
    <t>Unit 3</t>
  </si>
  <si>
    <t>041-0029-9-0025</t>
  </si>
  <si>
    <t>041-0029-9-0026</t>
  </si>
  <si>
    <r>
      <rPr>
        <sz val="11"/>
        <color theme="1"/>
        <rFont val="Calibri"/>
        <family val="2"/>
      </rPr>
      <t>N</t>
    </r>
    <r>
      <rPr>
        <vertAlign val="subscript"/>
        <sz val="11"/>
        <color theme="1"/>
        <rFont val="Calibri"/>
        <family val="2"/>
      </rPr>
      <t>2</t>
    </r>
    <r>
      <rPr>
        <sz val="11"/>
        <color theme="1"/>
        <rFont val="Calibri"/>
        <family val="2"/>
      </rPr>
      <t>O</t>
    </r>
  </si>
  <si>
    <t>Natural Gas &amp; LPG</t>
  </si>
  <si>
    <t>043-0005</t>
  </si>
  <si>
    <t>R P SMITH</t>
  </si>
  <si>
    <t>041-0029-9-0027</t>
  </si>
  <si>
    <r>
      <rPr>
        <sz val="11"/>
        <color theme="1"/>
        <rFont val="Calibri"/>
        <family val="2"/>
      </rPr>
      <t>CO</t>
    </r>
    <r>
      <rPr>
        <vertAlign val="subscript"/>
        <sz val="11"/>
        <color theme="1"/>
        <rFont val="Calibri"/>
        <family val="2"/>
      </rPr>
      <t>2</t>
    </r>
  </si>
  <si>
    <t>043-0005-3-0005</t>
  </si>
  <si>
    <t>Unit 3 (9)</t>
  </si>
  <si>
    <t>Electricity Consumption (MWh) (MD Retail Sales)</t>
  </si>
  <si>
    <t>041-0029-9-0028</t>
  </si>
  <si>
    <t>Residential</t>
  </si>
  <si>
    <t>043-0005-3-0006</t>
  </si>
  <si>
    <t>Unit 4 (11)</t>
  </si>
  <si>
    <t>041-0029-9-0029</t>
  </si>
  <si>
    <r>
      <rPr>
        <sz val="11"/>
        <color theme="1"/>
        <rFont val="Calibri"/>
        <family val="2"/>
      </rPr>
      <t>CH</t>
    </r>
    <r>
      <rPr>
        <vertAlign val="subscript"/>
        <sz val="11"/>
        <color theme="1"/>
        <rFont val="Calibri"/>
        <family val="2"/>
      </rPr>
      <t>4</t>
    </r>
  </si>
  <si>
    <t>Commercial</t>
  </si>
  <si>
    <t>041-0029-9-0030</t>
  </si>
  <si>
    <t>Industrial</t>
  </si>
  <si>
    <t>041-0029-9-0031</t>
  </si>
  <si>
    <r>
      <rPr>
        <sz val="11"/>
        <color theme="1"/>
        <rFont val="Calibri"/>
        <family val="2"/>
      </rPr>
      <t>N</t>
    </r>
    <r>
      <rPr>
        <vertAlign val="subscript"/>
        <sz val="11"/>
        <color theme="1"/>
        <rFont val="Calibri"/>
        <family val="2"/>
      </rPr>
      <t>2</t>
    </r>
    <r>
      <rPr>
        <sz val="11"/>
        <color theme="1"/>
        <rFont val="Calibri"/>
        <family val="2"/>
      </rPr>
      <t>O</t>
    </r>
  </si>
  <si>
    <t>031-0019</t>
  </si>
  <si>
    <t>Mirant Dickerson</t>
  </si>
  <si>
    <t>041-0029-9-0032</t>
  </si>
  <si>
    <t>1500-19-30001</t>
  </si>
  <si>
    <t>Boiler 1</t>
  </si>
  <si>
    <t>Transportation</t>
  </si>
  <si>
    <r>
      <rPr>
        <sz val="11"/>
        <color theme="1"/>
        <rFont val="Calibri"/>
        <family val="2"/>
      </rPr>
      <t>CO</t>
    </r>
    <r>
      <rPr>
        <vertAlign val="subscript"/>
        <sz val="11"/>
        <color theme="1"/>
        <rFont val="Calibri"/>
        <family val="2"/>
      </rPr>
      <t>2</t>
    </r>
  </si>
  <si>
    <t>Others</t>
  </si>
  <si>
    <t>1500-19-30002</t>
  </si>
  <si>
    <t>Boiler 2</t>
  </si>
  <si>
    <t>1500-19-30003</t>
  </si>
  <si>
    <t>Boiler 3</t>
  </si>
  <si>
    <t>Total Electric Consumption (Mwh) NET</t>
  </si>
  <si>
    <t>Easton Utility-Airport Park</t>
  </si>
  <si>
    <t>041-0069-4-0101</t>
  </si>
  <si>
    <t>Solar Turbines 
Taurus T-60;52.02</t>
  </si>
  <si>
    <t>017-0014</t>
  </si>
  <si>
    <r>
      <rPr>
        <sz val="11"/>
        <color theme="1"/>
        <rFont val="Calibri"/>
        <family val="2"/>
      </rPr>
      <t>CH</t>
    </r>
    <r>
      <rPr>
        <vertAlign val="subscript"/>
        <sz val="11"/>
        <color theme="1"/>
        <rFont val="Calibri"/>
        <family val="2"/>
      </rPr>
      <t>4</t>
    </r>
  </si>
  <si>
    <t>Mirant Morgantown</t>
  </si>
  <si>
    <t>Btu/gallon</t>
  </si>
  <si>
    <t>0800-14-30002</t>
  </si>
  <si>
    <t>Coal (Sc)</t>
  </si>
  <si>
    <t>Total Electric Consumption (Mwh) GROSS</t>
  </si>
  <si>
    <t>041-0069-4-0102</t>
  </si>
  <si>
    <t>Solar Turbines 
Taurus T-60-780;52 M</t>
  </si>
  <si>
    <t>080-14-30003</t>
  </si>
  <si>
    <r>
      <rPr>
        <sz val="11"/>
        <color theme="1"/>
        <rFont val="Calibri"/>
        <family val="2"/>
      </rPr>
      <t>N</t>
    </r>
    <r>
      <rPr>
        <vertAlign val="subscript"/>
        <sz val="11"/>
        <color theme="1"/>
        <rFont val="Calibri"/>
        <family val="2"/>
      </rPr>
      <t>2</t>
    </r>
    <r>
      <rPr>
        <sz val="11"/>
        <color theme="1"/>
        <rFont val="Calibri"/>
        <family val="2"/>
      </rPr>
      <t>O</t>
    </r>
  </si>
  <si>
    <t>041-0069-9-0033</t>
  </si>
  <si>
    <t>Diesel Gen</t>
  </si>
  <si>
    <t>041-0069-9-0034</t>
  </si>
  <si>
    <t>041-0069-9-0035</t>
  </si>
  <si>
    <t>Luke</t>
  </si>
  <si>
    <t xml:space="preserve">Wood </t>
  </si>
  <si>
    <t>Penwood Boiler (24-26)</t>
  </si>
  <si>
    <t>041-0069-9-0036</t>
  </si>
  <si>
    <r>
      <rPr>
        <b/>
        <sz val="10"/>
        <color theme="1"/>
        <rFont val="Open Sans"/>
        <family val="2"/>
      </rPr>
      <t xml:space="preserve">Electricity Imported (MWh) = </t>
    </r>
    <r>
      <rPr>
        <sz val="10"/>
        <color rgb="FF993366"/>
        <rFont val="MS Sans Serif"/>
      </rPr>
      <t>MD Retail Sales</t>
    </r>
    <r>
      <rPr>
        <sz val="10"/>
        <color theme="1"/>
        <rFont val="MS Sans Serif"/>
      </rPr>
      <t xml:space="preserve"> - </t>
    </r>
    <r>
      <rPr>
        <sz val="10"/>
        <color rgb="FF339966"/>
        <rFont val="MS Sans Serif"/>
      </rPr>
      <t>Net In-state Generation</t>
    </r>
  </si>
  <si>
    <r>
      <rPr>
        <sz val="11"/>
        <color theme="1"/>
        <rFont val="Calibri"/>
        <family val="2"/>
      </rPr>
      <t>CO</t>
    </r>
    <r>
      <rPr>
        <vertAlign val="subscript"/>
        <sz val="11"/>
        <color theme="1"/>
        <rFont val="Calibri"/>
        <family val="2"/>
      </rPr>
      <t>2</t>
    </r>
  </si>
  <si>
    <t>041-0069-9-0037</t>
  </si>
  <si>
    <t>Gross Imported Electricity to Meet MD Demand (MWh)</t>
  </si>
  <si>
    <r>
      <rPr>
        <sz val="11"/>
        <color theme="1"/>
        <rFont val="Calibri"/>
        <family val="2"/>
      </rPr>
      <t>CH</t>
    </r>
    <r>
      <rPr>
        <vertAlign val="subscript"/>
        <sz val="11"/>
        <color theme="1"/>
        <rFont val="Calibri"/>
        <family val="2"/>
      </rPr>
      <t>4</t>
    </r>
  </si>
  <si>
    <t>Coal (MMBTU)</t>
  </si>
  <si>
    <t>041-0069-9-0038</t>
  </si>
  <si>
    <r>
      <rPr>
        <sz val="11"/>
        <color theme="1"/>
        <rFont val="Calibri"/>
        <family val="2"/>
      </rPr>
      <t>N</t>
    </r>
    <r>
      <rPr>
        <vertAlign val="subscript"/>
        <sz val="11"/>
        <color theme="1"/>
        <rFont val="Calibri"/>
        <family val="2"/>
      </rPr>
      <t>2</t>
    </r>
    <r>
      <rPr>
        <sz val="11"/>
        <color theme="1"/>
        <rFont val="Calibri"/>
        <family val="2"/>
      </rPr>
      <t>O</t>
    </r>
  </si>
  <si>
    <t xml:space="preserve">Transportation </t>
  </si>
  <si>
    <t>Berlin Town Power Plant</t>
  </si>
  <si>
    <t>Onroad Gasoline</t>
  </si>
  <si>
    <r>
      <rPr>
        <sz val="11"/>
        <color theme="1"/>
        <rFont val="Calibri"/>
        <family val="2"/>
      </rPr>
      <t>CO</t>
    </r>
    <r>
      <rPr>
        <vertAlign val="subscript"/>
        <sz val="11"/>
        <color theme="1"/>
        <rFont val="Calibri"/>
        <family val="2"/>
      </rPr>
      <t>2</t>
    </r>
  </si>
  <si>
    <t>9-0028</t>
  </si>
  <si>
    <t>EMD Diesel Gen -3600 HP</t>
  </si>
  <si>
    <t>RGGI OIL COMBUSTION BY UNIT</t>
  </si>
  <si>
    <t>DFO = #2 Oil</t>
  </si>
  <si>
    <r>
      <rPr>
        <sz val="11"/>
        <color theme="1"/>
        <rFont val="Calibri"/>
        <family val="2"/>
      </rPr>
      <t>CH</t>
    </r>
    <r>
      <rPr>
        <vertAlign val="subscript"/>
        <sz val="11"/>
        <color theme="1"/>
        <rFont val="Calibri"/>
        <family val="2"/>
      </rPr>
      <t>4</t>
    </r>
  </si>
  <si>
    <t>9-0029</t>
  </si>
  <si>
    <t>FM Diesel Gen -1600HP</t>
  </si>
  <si>
    <r>
      <rPr>
        <sz val="11"/>
        <color theme="1"/>
        <rFont val="Calibri"/>
        <family val="2"/>
      </rPr>
      <t>N</t>
    </r>
    <r>
      <rPr>
        <vertAlign val="subscript"/>
        <sz val="11"/>
        <color theme="1"/>
        <rFont val="Calibri"/>
        <family val="2"/>
      </rPr>
      <t>2</t>
    </r>
    <r>
      <rPr>
        <sz val="11"/>
        <color theme="1"/>
        <rFont val="Calibri"/>
        <family val="2"/>
      </rPr>
      <t>O</t>
    </r>
  </si>
  <si>
    <t>GHG Associated with Imported Electricity</t>
  </si>
  <si>
    <t>9-0031</t>
  </si>
  <si>
    <t>Mistsu. Diesel Gen -2829 HP</t>
  </si>
  <si>
    <r>
      <rPr>
        <b/>
        <sz val="10"/>
        <color theme="1"/>
        <rFont val="Open Sans"/>
        <family val="2"/>
      </rPr>
      <t>PJM</t>
    </r>
    <r>
      <rPr>
        <sz val="10"/>
        <color theme="1"/>
        <rFont val="Arial"/>
        <family val="2"/>
      </rPr>
      <t xml:space="preserve"> Average CO</t>
    </r>
    <r>
      <rPr>
        <vertAlign val="subscript"/>
        <sz val="10"/>
        <color theme="1"/>
        <rFont val="MS Sans Serif"/>
      </rPr>
      <t>2</t>
    </r>
    <r>
      <rPr>
        <sz val="10"/>
        <color theme="1"/>
        <rFont val="Arial"/>
        <family val="2"/>
      </rPr>
      <t xml:space="preserve"> Emission Rate (lbs/MWh)</t>
    </r>
  </si>
  <si>
    <t>Nonroad Gasoline</t>
  </si>
  <si>
    <r>
      <rPr>
        <sz val="8"/>
        <color theme="1"/>
        <rFont val="Calibri"/>
        <family val="2"/>
      </rPr>
      <t>CO</t>
    </r>
    <r>
      <rPr>
        <vertAlign val="subscript"/>
        <sz val="10"/>
        <color theme="1"/>
        <rFont val="MS Sans Serif"/>
      </rPr>
      <t>2</t>
    </r>
    <r>
      <rPr>
        <sz val="10"/>
        <color theme="1"/>
        <rFont val="Arial"/>
        <family val="2"/>
      </rPr>
      <t xml:space="preserve"> Emission</t>
    </r>
  </si>
  <si>
    <r>
      <rPr>
        <b/>
        <sz val="10"/>
        <color theme="1"/>
        <rFont val="Arial"/>
        <family val="2"/>
      </rPr>
      <t>CO</t>
    </r>
    <r>
      <rPr>
        <b/>
        <vertAlign val="subscript"/>
        <sz val="10"/>
        <color theme="1"/>
        <rFont val="Arial"/>
        <family val="2"/>
      </rPr>
      <t>2</t>
    </r>
    <r>
      <rPr>
        <b/>
        <sz val="10"/>
        <color theme="1"/>
        <rFont val="Arial"/>
        <family val="2"/>
      </rPr>
      <t xml:space="preserve"> Emmission </t>
    </r>
  </si>
  <si>
    <t>9-0032</t>
  </si>
  <si>
    <t>(gallons)</t>
  </si>
  <si>
    <r>
      <rPr>
        <sz val="11"/>
        <color theme="1"/>
        <rFont val="Calibri"/>
        <family val="2"/>
      </rPr>
      <t>CO</t>
    </r>
    <r>
      <rPr>
        <vertAlign val="subscript"/>
        <sz val="11"/>
        <color theme="1"/>
        <rFont val="Calibri"/>
        <family val="2"/>
      </rPr>
      <t>2</t>
    </r>
  </si>
  <si>
    <t xml:space="preserve"> Unit</t>
  </si>
  <si>
    <r>
      <rPr>
        <sz val="8"/>
        <color theme="1"/>
        <rFont val="Calibri"/>
        <family val="2"/>
      </rPr>
      <t>(CO</t>
    </r>
    <r>
      <rPr>
        <vertAlign val="subscript"/>
        <sz val="10"/>
        <color theme="1"/>
        <rFont val="MS Sans Serif"/>
      </rPr>
      <t>2</t>
    </r>
    <r>
      <rPr>
        <sz val="10"/>
        <color theme="1"/>
        <rFont val="Arial"/>
        <family val="2"/>
      </rPr>
      <t xml:space="preserve"> Emission Rate of Marginal Units)</t>
    </r>
  </si>
  <si>
    <t>(short tons)</t>
  </si>
  <si>
    <t>9-0033</t>
  </si>
  <si>
    <t>Diesel (#2)</t>
  </si>
  <si>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</si>
  <si>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</si>
  <si>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Emergency Engine (Boiler Feed Pump)</t>
  </si>
  <si>
    <t>Riverside</t>
  </si>
  <si>
    <t>Onroad Diesel</t>
  </si>
  <si>
    <t>Hydroelectric</t>
  </si>
  <si>
    <t>Solid Waste</t>
  </si>
  <si>
    <t>Wind</t>
  </si>
  <si>
    <r>
      <rPr>
        <sz val="11"/>
        <color theme="1"/>
        <rFont val="Calibri"/>
        <family val="2"/>
      </rPr>
      <t>CO</t>
    </r>
    <r>
      <rPr>
        <vertAlign val="subscript"/>
        <sz val="11"/>
        <color theme="1"/>
        <rFont val="Calibri"/>
        <family val="2"/>
      </rPr>
      <t>2</t>
    </r>
  </si>
  <si>
    <r>
      <rPr>
        <b/>
        <sz val="8"/>
        <color theme="1"/>
        <rFont val="Open Sans"/>
        <family val="2"/>
      </rPr>
      <t>Captured CH</t>
    </r>
    <r>
      <rPr>
        <b/>
        <vertAlign val="subscript"/>
        <sz val="8"/>
        <color theme="1"/>
        <rFont val="MS Sans Serif"/>
      </rPr>
      <t>4</t>
    </r>
  </si>
  <si>
    <t>4-0658</t>
  </si>
  <si>
    <t>Combustion Turbine # 7</t>
  </si>
  <si>
    <t>#2 Oil</t>
  </si>
  <si>
    <t>MMBTU/10E+03 gallons</t>
  </si>
  <si>
    <t>PJM Electricity Generation Fuel Mix 2006</t>
  </si>
  <si>
    <r>
      <rPr>
        <sz val="11"/>
        <color theme="1"/>
        <rFont val="Calibri"/>
        <family val="2"/>
      </rPr>
      <t>CH</t>
    </r>
    <r>
      <rPr>
        <vertAlign val="subscript"/>
        <sz val="11"/>
        <color theme="1"/>
        <rFont val="Calibri"/>
        <family val="2"/>
      </rPr>
      <t>4</t>
    </r>
  </si>
  <si>
    <t>3-0015</t>
  </si>
  <si>
    <r>
      <rPr>
        <sz val="11"/>
        <color theme="1"/>
        <rFont val="Calibri"/>
        <family val="2"/>
      </rPr>
      <t>N</t>
    </r>
    <r>
      <rPr>
        <vertAlign val="subscript"/>
        <sz val="11"/>
        <color theme="1"/>
        <rFont val="Calibri"/>
        <family val="2"/>
      </rPr>
      <t>2</t>
    </r>
    <r>
      <rPr>
        <sz val="11"/>
        <color theme="1"/>
        <rFont val="Calibri"/>
        <family val="2"/>
      </rPr>
      <t>O</t>
    </r>
  </si>
  <si>
    <t>4-0659</t>
  </si>
  <si>
    <t xml:space="preserve">Combustion Turbine #8 </t>
  </si>
  <si>
    <t>3-0016</t>
  </si>
  <si>
    <t>Nonroad Diesel</t>
  </si>
  <si>
    <r>
      <rPr>
        <sz val="11"/>
        <color theme="1"/>
        <rFont val="Calibri"/>
        <family val="2"/>
      </rPr>
      <t>CO</t>
    </r>
    <r>
      <rPr>
        <vertAlign val="subscript"/>
        <sz val="11"/>
        <color theme="1"/>
        <rFont val="Calibri"/>
        <family val="2"/>
      </rPr>
      <t>2</t>
    </r>
  </si>
  <si>
    <t xml:space="preserve">Perryman </t>
  </si>
  <si>
    <t>Maryland 2006  Import Share (MWh)</t>
  </si>
  <si>
    <t>#2 Oli</t>
  </si>
  <si>
    <r>
      <rPr>
        <sz val="11"/>
        <color theme="1"/>
        <rFont val="Calibri"/>
        <family val="2"/>
      </rPr>
      <t>CH</t>
    </r>
    <r>
      <rPr>
        <vertAlign val="subscript"/>
        <sz val="11"/>
        <color theme="1"/>
        <rFont val="Calibri"/>
        <family val="2"/>
      </rPr>
      <t>4</t>
    </r>
  </si>
  <si>
    <t>4-0083</t>
  </si>
  <si>
    <t>No.2 Oil</t>
  </si>
  <si>
    <r>
      <rPr>
        <sz val="11"/>
        <color theme="1"/>
        <rFont val="Calibri"/>
        <family val="2"/>
      </rPr>
      <t>N</t>
    </r>
    <r>
      <rPr>
        <vertAlign val="subscript"/>
        <sz val="11"/>
        <color theme="1"/>
        <rFont val="Calibri"/>
        <family val="2"/>
      </rPr>
      <t>2</t>
    </r>
    <r>
      <rPr>
        <sz val="11"/>
        <color theme="1"/>
        <rFont val="Calibri"/>
        <family val="2"/>
      </rPr>
      <t>O</t>
    </r>
  </si>
  <si>
    <t>Rail</t>
  </si>
  <si>
    <r>
      <rPr>
        <sz val="11"/>
        <color theme="1"/>
        <rFont val="Calibri"/>
        <family val="2"/>
      </rPr>
      <t>CO</t>
    </r>
    <r>
      <rPr>
        <vertAlign val="subscript"/>
        <sz val="11"/>
        <color theme="1"/>
        <rFont val="Calibri"/>
        <family val="2"/>
      </rPr>
      <t>2</t>
    </r>
  </si>
  <si>
    <t>1600-14-40998</t>
  </si>
  <si>
    <t>Unit 4</t>
  </si>
  <si>
    <t>1600-14-40999</t>
  </si>
  <si>
    <t xml:space="preserve"> CT 1</t>
  </si>
  <si>
    <t>Distillate Fuel Oil Total</t>
  </si>
  <si>
    <t>1600-14-41145</t>
  </si>
  <si>
    <t>CT2</t>
  </si>
  <si>
    <r>
      <rPr>
        <sz val="11"/>
        <color theme="1"/>
        <rFont val="Calibri"/>
        <family val="2"/>
      </rPr>
      <t>CH</t>
    </r>
    <r>
      <rPr>
        <vertAlign val="subscript"/>
        <sz val="11"/>
        <color theme="1"/>
        <rFont val="Calibri"/>
        <family val="2"/>
      </rPr>
      <t>4</t>
    </r>
  </si>
  <si>
    <t>1600-14-90752</t>
  </si>
  <si>
    <t>CT3**</t>
  </si>
  <si>
    <r>
      <rPr>
        <sz val="11"/>
        <color theme="1"/>
        <rFont val="Calibri"/>
        <family val="2"/>
      </rPr>
      <t>N</t>
    </r>
    <r>
      <rPr>
        <vertAlign val="subscript"/>
        <sz val="11"/>
        <color theme="1"/>
        <rFont val="Calibri"/>
        <family val="2"/>
      </rPr>
      <t>2</t>
    </r>
    <r>
      <rPr>
        <sz val="11"/>
        <color theme="1"/>
        <rFont val="Calibri"/>
        <family val="2"/>
      </rPr>
      <t>O</t>
    </r>
  </si>
  <si>
    <t>1600-14-90753</t>
  </si>
  <si>
    <t>CT4**</t>
  </si>
  <si>
    <t>1600-14-90754</t>
  </si>
  <si>
    <t>CT5**</t>
  </si>
  <si>
    <r>
      <rPr>
        <sz val="8"/>
        <color theme="1"/>
        <rFont val="Arial"/>
        <family val="2"/>
      </rPr>
      <t>Imported Electric CO</t>
    </r>
    <r>
      <rPr>
        <vertAlign val="subscript"/>
        <sz val="10"/>
        <color theme="1"/>
        <rFont val="MS Sans Serif"/>
      </rPr>
      <t>2</t>
    </r>
    <r>
      <rPr>
        <sz val="10"/>
        <color theme="1"/>
        <rFont val="Arial"/>
        <family val="2"/>
      </rPr>
      <t xml:space="preserve"> Emissions Factors (tons/MWh)</t>
    </r>
  </si>
  <si>
    <r>
      <rPr>
        <sz val="11"/>
        <color theme="1"/>
        <rFont val="Calibri"/>
        <family val="2"/>
      </rPr>
      <t>CO</t>
    </r>
    <r>
      <rPr>
        <vertAlign val="subscript"/>
        <sz val="11"/>
        <color theme="1"/>
        <rFont val="Calibri"/>
        <family val="2"/>
      </rPr>
      <t>2</t>
    </r>
  </si>
  <si>
    <t>1600-14-90755</t>
  </si>
  <si>
    <t>CT6**</t>
  </si>
  <si>
    <r>
      <rPr>
        <sz val="8"/>
        <color theme="1"/>
        <rFont val="Arial"/>
        <family val="2"/>
      </rPr>
      <t>Imported Electric CO</t>
    </r>
    <r>
      <rPr>
        <vertAlign val="subscript"/>
        <sz val="10"/>
        <color theme="1"/>
        <rFont val="MS Sans Serif"/>
      </rPr>
      <t>2</t>
    </r>
    <r>
      <rPr>
        <sz val="10"/>
        <color theme="1"/>
        <rFont val="Arial"/>
        <family val="2"/>
      </rPr>
      <t xml:space="preserve"> Emissions (metric tons)</t>
    </r>
  </si>
  <si>
    <r>
      <rPr>
        <sz val="11"/>
        <color theme="1"/>
        <rFont val="Calibri"/>
        <family val="2"/>
      </rPr>
      <t>CH</t>
    </r>
    <r>
      <rPr>
        <vertAlign val="subscript"/>
        <sz val="11"/>
        <color theme="1"/>
        <rFont val="Calibri"/>
        <family val="2"/>
      </rPr>
      <t>4</t>
    </r>
  </si>
  <si>
    <t>NON-RGGI RESIDUAL OIL COMBUSTION BY UNIT</t>
  </si>
  <si>
    <r>
      <rPr>
        <sz val="11"/>
        <color theme="1"/>
        <rFont val="Calibri"/>
        <family val="2"/>
      </rPr>
      <t>N</t>
    </r>
    <r>
      <rPr>
        <vertAlign val="subscript"/>
        <sz val="11"/>
        <color theme="1"/>
        <rFont val="Calibri"/>
        <family val="2"/>
      </rPr>
      <t>2</t>
    </r>
    <r>
      <rPr>
        <sz val="11"/>
        <color theme="1"/>
        <rFont val="Calibri"/>
        <family val="2"/>
      </rPr>
      <t>O</t>
    </r>
  </si>
  <si>
    <t>4-0007</t>
  </si>
  <si>
    <t>CT</t>
  </si>
  <si>
    <t xml:space="preserve">Lubricants, Natural Gas, and LPG </t>
  </si>
  <si>
    <t># 6 Fuel Oil</t>
  </si>
  <si>
    <r>
      <rPr>
        <sz val="11"/>
        <color theme="1"/>
        <rFont val="Calibri"/>
        <family val="2"/>
      </rPr>
      <t>CO</t>
    </r>
    <r>
      <rPr>
        <vertAlign val="subscript"/>
        <sz val="11"/>
        <color theme="1"/>
        <rFont val="Calibri"/>
        <family val="2"/>
      </rPr>
      <t>2</t>
    </r>
  </si>
  <si>
    <t>024-025-0024</t>
  </si>
  <si>
    <t>5-0088</t>
  </si>
  <si>
    <t>Unit 51 CT</t>
  </si>
  <si>
    <r>
      <rPr>
        <sz val="8"/>
        <color theme="1"/>
        <rFont val="Arial"/>
        <family val="2"/>
      </rPr>
      <t>Imported Electric CO</t>
    </r>
    <r>
      <rPr>
        <vertAlign val="subscript"/>
        <sz val="10"/>
        <color theme="1"/>
        <rFont val="MS Sans Serif"/>
      </rPr>
      <t>2</t>
    </r>
    <r>
      <rPr>
        <sz val="10"/>
        <color theme="1"/>
        <rFont val="Arial"/>
        <family val="2"/>
      </rPr>
      <t xml:space="preserve"> Emissions (MMTCO</t>
    </r>
    <r>
      <rPr>
        <vertAlign val="subscript"/>
        <sz val="10"/>
        <color theme="1"/>
        <rFont val="MS Sans Serif"/>
      </rPr>
      <t>2</t>
    </r>
    <r>
      <rPr>
        <sz val="10"/>
        <color theme="1"/>
        <rFont val="Arial"/>
        <family val="2"/>
      </rPr>
      <t>)</t>
    </r>
  </si>
  <si>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</si>
  <si>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</si>
  <si>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4-0081</t>
  </si>
  <si>
    <t>Jet Fuel and Aviation Gasoline</t>
  </si>
  <si>
    <t>4-0082</t>
  </si>
  <si>
    <r>
      <rPr>
        <sz val="11"/>
        <color theme="1"/>
        <rFont val="Calibri"/>
        <family val="2"/>
      </rPr>
      <t>CO</t>
    </r>
    <r>
      <rPr>
        <vertAlign val="subscript"/>
        <sz val="11"/>
        <color theme="1"/>
        <rFont val="Calibri"/>
        <family val="2"/>
      </rPr>
      <t>2</t>
    </r>
  </si>
  <si>
    <t># 6 Fuel Oil Total</t>
  </si>
  <si>
    <t>4-0084</t>
  </si>
  <si>
    <r>
      <rPr>
        <sz val="11"/>
        <color theme="1"/>
        <rFont val="Calibri"/>
        <family val="2"/>
      </rPr>
      <t>CH</t>
    </r>
    <r>
      <rPr>
        <vertAlign val="subscript"/>
        <sz val="11"/>
        <color theme="1"/>
        <rFont val="Calibri"/>
        <family val="2"/>
      </rPr>
      <t>4</t>
    </r>
  </si>
  <si>
    <t>Residual Fuel Oil Total</t>
  </si>
  <si>
    <r>
      <rPr>
        <sz val="11"/>
        <color theme="1"/>
        <rFont val="Calibri"/>
        <family val="2"/>
      </rPr>
      <t>N</t>
    </r>
    <r>
      <rPr>
        <vertAlign val="subscript"/>
        <sz val="11"/>
        <color theme="1"/>
        <rFont val="Calibri"/>
        <family val="2"/>
      </rPr>
      <t>2</t>
    </r>
    <r>
      <rPr>
        <sz val="11"/>
        <color theme="1"/>
        <rFont val="Calibri"/>
        <family val="2"/>
      </rPr>
      <t>O</t>
    </r>
  </si>
  <si>
    <t>Fossil Fuel Industry</t>
  </si>
  <si>
    <t>NON-RGGI NATURAL GAS COMBUSTION BY UNIT</t>
  </si>
  <si>
    <r>
      <rPr>
        <b/>
        <sz val="10"/>
        <color theme="1"/>
        <rFont val="Open Sans"/>
        <family val="2"/>
      </rPr>
      <t xml:space="preserve"> Imported Electricity Emissions  (MMTCO</t>
    </r>
    <r>
      <rPr>
        <b/>
        <vertAlign val="subscript"/>
        <sz val="10"/>
        <color theme="1"/>
        <rFont val="MS Sans Serif"/>
      </rPr>
      <t>2</t>
    </r>
    <r>
      <rPr>
        <b/>
        <sz val="10"/>
        <color theme="1"/>
        <rFont val="MS Sans Serif"/>
      </rPr>
      <t>E)</t>
    </r>
  </si>
  <si>
    <t>Natural Gas Industry</t>
  </si>
  <si>
    <t>Btu/ gal</t>
  </si>
  <si>
    <t xml:space="preserve">CPSG- Notch Cliff </t>
  </si>
  <si>
    <r>
      <rPr>
        <sz val="11"/>
        <color theme="1"/>
        <rFont val="Calibri"/>
        <family val="2"/>
      </rPr>
      <t>CO</t>
    </r>
    <r>
      <rPr>
        <vertAlign val="subscript"/>
        <sz val="11"/>
        <color theme="1"/>
        <rFont val="Calibri"/>
        <family val="2"/>
      </rPr>
      <t>2</t>
    </r>
  </si>
  <si>
    <t>9-1094</t>
  </si>
  <si>
    <t>Gas</t>
  </si>
  <si>
    <t>scf</t>
  </si>
  <si>
    <t>MMBTU/ 1 E+06 scf</t>
  </si>
  <si>
    <t>9-1095</t>
  </si>
  <si>
    <r>
      <rPr>
        <sz val="11"/>
        <color theme="1"/>
        <rFont val="Calibri"/>
        <family val="2"/>
      </rPr>
      <t>CH</t>
    </r>
    <r>
      <rPr>
        <vertAlign val="subscript"/>
        <sz val="11"/>
        <color theme="1"/>
        <rFont val="Calibri"/>
        <family val="2"/>
      </rPr>
      <t>4</t>
    </r>
  </si>
  <si>
    <t>9-1096</t>
  </si>
  <si>
    <t>9-1097</t>
  </si>
  <si>
    <r>
      <rPr>
        <sz val="11"/>
        <color theme="1"/>
        <rFont val="Calibri"/>
        <family val="2"/>
      </rPr>
      <t>N</t>
    </r>
    <r>
      <rPr>
        <vertAlign val="subscript"/>
        <sz val="11"/>
        <color theme="1"/>
        <rFont val="Calibri"/>
        <family val="2"/>
      </rPr>
      <t>2</t>
    </r>
    <r>
      <rPr>
        <sz val="11"/>
        <color theme="1"/>
        <rFont val="Calibri"/>
        <family val="2"/>
      </rPr>
      <t>O</t>
    </r>
  </si>
  <si>
    <t>9-1098</t>
  </si>
  <si>
    <t>Unit 5 CT</t>
  </si>
  <si>
    <t>005-0078</t>
  </si>
  <si>
    <t>Oil Industry</t>
  </si>
  <si>
    <t>9-1099</t>
  </si>
  <si>
    <t>Unit 6 CT</t>
  </si>
  <si>
    <r>
      <rPr>
        <sz val="11"/>
        <color theme="1"/>
        <rFont val="Calibri"/>
        <family val="2"/>
      </rPr>
      <t>CO</t>
    </r>
    <r>
      <rPr>
        <vertAlign val="subscript"/>
        <sz val="11"/>
        <color theme="1"/>
        <rFont val="Calibri"/>
        <family val="2"/>
      </rPr>
      <t>2</t>
    </r>
  </si>
  <si>
    <t>9-1100</t>
  </si>
  <si>
    <t>Unit 7 CT</t>
  </si>
  <si>
    <t>9-1101</t>
  </si>
  <si>
    <t>Unit 8 CT</t>
  </si>
  <si>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</si>
  <si>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</si>
  <si>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Coal Mining</t>
  </si>
  <si>
    <t>Natural Gas Total</t>
  </si>
  <si>
    <r>
      <rPr>
        <sz val="11"/>
        <color theme="1"/>
        <rFont val="Calibri"/>
        <family val="2"/>
      </rPr>
      <t>CO</t>
    </r>
    <r>
      <rPr>
        <vertAlign val="subscript"/>
        <sz val="11"/>
        <color theme="1"/>
        <rFont val="Calibri"/>
        <family val="2"/>
      </rPr>
      <t>2</t>
    </r>
  </si>
  <si>
    <t>019-0013</t>
  </si>
  <si>
    <t>Vienna Generating Station</t>
  </si>
  <si>
    <r>
      <rPr>
        <sz val="11"/>
        <color theme="1"/>
        <rFont val="Calibri"/>
        <family val="2"/>
      </rPr>
      <t>CH</t>
    </r>
    <r>
      <rPr>
        <vertAlign val="subscript"/>
        <sz val="11"/>
        <color theme="1"/>
        <rFont val="Calibri"/>
        <family val="2"/>
      </rPr>
      <t>4</t>
    </r>
  </si>
  <si>
    <t>4-0065</t>
  </si>
  <si>
    <t>Unit 8</t>
  </si>
  <si>
    <t>Btu/gallons</t>
  </si>
  <si>
    <r>
      <rPr>
        <sz val="11"/>
        <color theme="1"/>
        <rFont val="Calibri"/>
        <family val="2"/>
      </rPr>
      <t>N</t>
    </r>
    <r>
      <rPr>
        <vertAlign val="subscript"/>
        <sz val="11"/>
        <color theme="1"/>
        <rFont val="Calibri"/>
        <family val="2"/>
      </rPr>
      <t>2</t>
    </r>
    <r>
      <rPr>
        <sz val="11"/>
        <color theme="1"/>
        <rFont val="Calibri"/>
        <family val="2"/>
      </rPr>
      <t>O</t>
    </r>
  </si>
  <si>
    <t>Industrial Processes and Product Use</t>
  </si>
  <si>
    <t>ELECTRIC POWER SECTOR</t>
  </si>
  <si>
    <t>Cement Manufacture</t>
  </si>
  <si>
    <t>CO2 EMISSION SUMMARY: NON-RGGI ALL UNITS</t>
  </si>
  <si>
    <r>
      <rPr>
        <sz val="11"/>
        <color theme="1"/>
        <rFont val="Calibri"/>
        <family val="2"/>
      </rPr>
      <t>CO</t>
    </r>
    <r>
      <rPr>
        <vertAlign val="subscript"/>
        <sz val="11"/>
        <color theme="1"/>
        <rFont val="Calibri"/>
        <family val="2"/>
      </rPr>
      <t>2</t>
    </r>
  </si>
  <si>
    <t>031-1822</t>
  </si>
  <si>
    <t>Mirant Station H</t>
  </si>
  <si>
    <t>Consumption</t>
  </si>
  <si>
    <t>1518-22-90362</t>
  </si>
  <si>
    <t>CT 1</t>
  </si>
  <si>
    <t>Emission Factor</t>
  </si>
  <si>
    <t>Combustion</t>
  </si>
  <si>
    <t xml:space="preserve">Emissions </t>
  </si>
  <si>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</si>
  <si>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</si>
  <si>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158-22-90363</t>
  </si>
  <si>
    <t>CT 2</t>
  </si>
  <si>
    <t xml:space="preserve">Limestone and Dolomite </t>
  </si>
  <si>
    <t>(Billion Btu)</t>
  </si>
  <si>
    <t>(lbs C/Million Btu)</t>
  </si>
  <si>
    <t>Efficiency (%)</t>
  </si>
  <si>
    <t>(short tons carbon)</t>
  </si>
  <si>
    <r>
      <rPr>
        <b/>
        <sz val="10"/>
        <color rgb="FF000000"/>
        <rFont val="Calibri"/>
        <family val="2"/>
      </rPr>
      <t>(short tons CO</t>
    </r>
    <r>
      <rPr>
        <b/>
        <vertAlign val="subscript"/>
        <sz val="10"/>
        <color rgb="FF000000"/>
        <rFont val="Calibri"/>
        <family val="2"/>
      </rPr>
      <t>2</t>
    </r>
    <r>
      <rPr>
        <b/>
        <sz val="10"/>
        <color rgb="FF000000"/>
        <rFont val="Calibri"/>
        <family val="2"/>
      </rPr>
      <t xml:space="preserve"> )</t>
    </r>
  </si>
  <si>
    <r>
      <rPr>
        <b/>
        <sz val="10"/>
        <color rgb="FF000000"/>
        <rFont val="Calibri"/>
        <family val="2"/>
      </rPr>
      <t>(metric tons CO</t>
    </r>
    <r>
      <rPr>
        <b/>
        <vertAlign val="subscript"/>
        <sz val="10"/>
        <color rgb="FF000000"/>
        <rFont val="Calibri"/>
        <family val="2"/>
      </rPr>
      <t>2</t>
    </r>
    <r>
      <rPr>
        <b/>
        <sz val="10"/>
        <color rgb="FF000000"/>
        <rFont val="Calibri"/>
        <family val="2"/>
      </rPr>
      <t xml:space="preserve"> )</t>
    </r>
  </si>
  <si>
    <r>
      <rPr>
        <b/>
        <sz val="10"/>
        <color rgb="FF000000"/>
        <rFont val="Calibri"/>
        <family val="2"/>
      </rPr>
      <t>(MMTCO</t>
    </r>
    <r>
      <rPr>
        <b/>
        <vertAlign val="subscript"/>
        <sz val="10"/>
        <color rgb="FF000000"/>
        <rFont val="Calibri"/>
        <family val="2"/>
      </rPr>
      <t>2</t>
    </r>
    <r>
      <rPr>
        <b/>
        <sz val="10"/>
        <color rgb="FF000000"/>
        <rFont val="Calibri"/>
        <family val="2"/>
      </rPr>
      <t xml:space="preserve"> E )</t>
    </r>
  </si>
  <si>
    <t>(MMTCE )</t>
  </si>
  <si>
    <r>
      <rPr>
        <sz val="11"/>
        <color theme="1"/>
        <rFont val="Calibri"/>
        <family val="2"/>
      </rPr>
      <t>CO</t>
    </r>
    <r>
      <rPr>
        <vertAlign val="subscript"/>
        <sz val="11"/>
        <color theme="1"/>
        <rFont val="Calibri"/>
        <family val="2"/>
      </rPr>
      <t>2</t>
    </r>
  </si>
  <si>
    <t>0800-14-4-0070</t>
  </si>
  <si>
    <t>CT 3</t>
  </si>
  <si>
    <t>No. 2 Fuel Oil</t>
  </si>
  <si>
    <t>Btu/ gallons</t>
  </si>
  <si>
    <r>
      <rPr>
        <sz val="11"/>
        <color theme="1"/>
        <rFont val="Calibri"/>
        <family val="2"/>
      </rPr>
      <t>CH</t>
    </r>
    <r>
      <rPr>
        <vertAlign val="subscript"/>
        <sz val="11"/>
        <color theme="1"/>
        <rFont val="Calibri"/>
        <family val="2"/>
      </rPr>
      <t>4</t>
    </r>
  </si>
  <si>
    <t>0800-14-4-0074</t>
  </si>
  <si>
    <r>
      <rPr>
        <sz val="11"/>
        <color theme="1"/>
        <rFont val="Calibri"/>
        <family val="2"/>
      </rPr>
      <t>N</t>
    </r>
    <r>
      <rPr>
        <vertAlign val="subscript"/>
        <sz val="11"/>
        <color theme="1"/>
        <rFont val="Calibri"/>
        <family val="2"/>
      </rPr>
      <t>2</t>
    </r>
    <r>
      <rPr>
        <sz val="11"/>
        <color theme="1"/>
        <rFont val="Calibri"/>
        <family val="2"/>
      </rPr>
      <t>O</t>
    </r>
  </si>
  <si>
    <t>CT 5</t>
  </si>
  <si>
    <t xml:space="preserve">Soda Ash </t>
  </si>
  <si>
    <t>0800-14-4-0075</t>
  </si>
  <si>
    <t>CT 6</t>
  </si>
  <si>
    <r>
      <rPr>
        <sz val="11"/>
        <color theme="1"/>
        <rFont val="Calibri"/>
        <family val="2"/>
      </rPr>
      <t>CO</t>
    </r>
    <r>
      <rPr>
        <vertAlign val="subscript"/>
        <sz val="11"/>
        <color theme="1"/>
        <rFont val="Calibri"/>
        <family val="2"/>
      </rPr>
      <t>2</t>
    </r>
  </si>
  <si>
    <t>Distillate Fuel</t>
  </si>
  <si>
    <t>001-0011</t>
  </si>
  <si>
    <t>Luke (NewPage)</t>
  </si>
  <si>
    <r>
      <rPr>
        <sz val="11"/>
        <color theme="1"/>
        <rFont val="Calibri"/>
        <family val="2"/>
      </rPr>
      <t>CH</t>
    </r>
    <r>
      <rPr>
        <vertAlign val="subscript"/>
        <sz val="11"/>
        <color theme="1"/>
        <rFont val="Calibri"/>
        <family val="2"/>
      </rPr>
      <t>4</t>
    </r>
  </si>
  <si>
    <t>01-0011-3-0018</t>
  </si>
  <si>
    <r>
      <rPr>
        <sz val="11"/>
        <color theme="1"/>
        <rFont val="Calibri"/>
        <family val="2"/>
      </rPr>
      <t>N</t>
    </r>
    <r>
      <rPr>
        <vertAlign val="subscript"/>
        <sz val="11"/>
        <color theme="1"/>
        <rFont val="Calibri"/>
        <family val="2"/>
      </rPr>
      <t>2</t>
    </r>
    <r>
      <rPr>
        <sz val="11"/>
        <color theme="1"/>
        <rFont val="Calibri"/>
        <family val="2"/>
      </rPr>
      <t>O</t>
    </r>
  </si>
  <si>
    <t>No. 24 Boiler</t>
  </si>
  <si>
    <t>Iron and Steel</t>
  </si>
  <si>
    <r>
      <rPr>
        <sz val="11"/>
        <color theme="1"/>
        <rFont val="Calibri"/>
        <family val="2"/>
      </rPr>
      <t>CO</t>
    </r>
    <r>
      <rPr>
        <vertAlign val="subscript"/>
        <sz val="11"/>
        <color theme="1"/>
        <rFont val="Calibri"/>
        <family val="2"/>
      </rPr>
      <t>2</t>
    </r>
  </si>
  <si>
    <t>Residual Fuel</t>
  </si>
  <si>
    <t>Distillate Fuel Oil (MMBTU)</t>
  </si>
  <si>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</si>
  <si>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</si>
  <si>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ODS Substitutes</t>
  </si>
  <si>
    <r>
      <rPr>
        <sz val="11"/>
        <color theme="1"/>
        <rFont val="Calibri"/>
        <family val="2"/>
      </rPr>
      <t>CO</t>
    </r>
    <r>
      <rPr>
        <vertAlign val="subscript"/>
        <sz val="11"/>
        <color theme="1"/>
        <rFont val="Calibri"/>
        <family val="2"/>
      </rPr>
      <t>2</t>
    </r>
  </si>
  <si>
    <t xml:space="preserve">                                                                                                                                                                Total</t>
  </si>
  <si>
    <r>
      <rPr>
        <sz val="11"/>
        <color theme="1"/>
        <rFont val="Calibri"/>
        <family val="2"/>
      </rPr>
      <t>CH</t>
    </r>
    <r>
      <rPr>
        <vertAlign val="subscript"/>
        <sz val="11"/>
        <color theme="1"/>
        <rFont val="Calibri"/>
        <family val="2"/>
      </rPr>
      <t>4</t>
    </r>
  </si>
  <si>
    <t>4-1363</t>
  </si>
  <si>
    <r>
      <rPr>
        <sz val="11"/>
        <color theme="1"/>
        <rFont val="Calibri"/>
        <family val="2"/>
      </rPr>
      <t>HFC, PFC, SF</t>
    </r>
    <r>
      <rPr>
        <vertAlign val="subscript"/>
        <sz val="11"/>
        <color theme="1"/>
        <rFont val="Calibri"/>
        <family val="2"/>
      </rPr>
      <t>6</t>
    </r>
  </si>
  <si>
    <t xml:space="preserve">Combustion Turbine # 6 </t>
  </si>
  <si>
    <t>Kerosene</t>
  </si>
  <si>
    <t>Electricity Transmission and Dist.</t>
  </si>
  <si>
    <r>
      <rPr>
        <sz val="11"/>
        <color theme="1"/>
        <rFont val="Calibri"/>
        <family val="2"/>
      </rPr>
      <t>CO</t>
    </r>
    <r>
      <rPr>
        <vertAlign val="subscript"/>
        <sz val="11"/>
        <color theme="1"/>
        <rFont val="Calibri"/>
        <family val="2"/>
      </rPr>
      <t>2</t>
    </r>
  </si>
  <si>
    <r>
      <rPr>
        <sz val="11"/>
        <color theme="1"/>
        <rFont val="Calibri"/>
        <family val="2"/>
      </rPr>
      <t>CH</t>
    </r>
    <r>
      <rPr>
        <vertAlign val="subscript"/>
        <sz val="11"/>
        <color theme="1"/>
        <rFont val="Calibri"/>
        <family val="2"/>
      </rPr>
      <t>4</t>
    </r>
  </si>
  <si>
    <r>
      <rPr>
        <sz val="11"/>
        <color theme="1"/>
        <rFont val="Calibri"/>
        <family val="2"/>
      </rPr>
      <t>HFC, PFC, SF</t>
    </r>
    <r>
      <rPr>
        <vertAlign val="subscript"/>
        <sz val="11"/>
        <color theme="1"/>
        <rFont val="Calibri"/>
        <family val="2"/>
      </rPr>
      <t>6</t>
    </r>
  </si>
  <si>
    <t>RFO = #6 Oil</t>
  </si>
  <si>
    <t>CH4 EMISSION SUMMARY: NON-RGGI ALL UNITS</t>
  </si>
  <si>
    <t>Semiconductor Manufacturing</t>
  </si>
  <si>
    <r>
      <rPr>
        <b/>
        <sz val="10"/>
        <color theme="1"/>
        <rFont val="Arial"/>
        <family val="2"/>
      </rPr>
      <t>CO</t>
    </r>
    <r>
      <rPr>
        <b/>
        <vertAlign val="subscript"/>
        <sz val="10"/>
        <color theme="1"/>
        <rFont val="Arial"/>
        <family val="2"/>
      </rPr>
      <t>2</t>
    </r>
    <r>
      <rPr>
        <b/>
        <sz val="10"/>
        <color theme="1"/>
        <rFont val="Arial"/>
        <family val="2"/>
      </rPr>
      <t xml:space="preserve"> Emmission </t>
    </r>
  </si>
  <si>
    <r>
      <rPr>
        <sz val="11"/>
        <color theme="1"/>
        <rFont val="Calibri"/>
        <family val="2"/>
      </rPr>
      <t>CO</t>
    </r>
    <r>
      <rPr>
        <vertAlign val="subscript"/>
        <sz val="11"/>
        <color theme="1"/>
        <rFont val="Calibri"/>
        <family val="2"/>
      </rPr>
      <t>2</t>
    </r>
  </si>
  <si>
    <r>
      <rPr>
        <sz val="11"/>
        <color theme="1"/>
        <rFont val="Calibri"/>
        <family val="2"/>
      </rPr>
      <t>CH</t>
    </r>
    <r>
      <rPr>
        <vertAlign val="subscript"/>
        <sz val="11"/>
        <color theme="1"/>
        <rFont val="Calibri"/>
        <family val="2"/>
      </rPr>
      <t>4</t>
    </r>
  </si>
  <si>
    <t>GWP</t>
  </si>
  <si>
    <r>
      <rPr>
        <sz val="11"/>
        <color theme="1"/>
        <rFont val="Calibri"/>
        <family val="2"/>
      </rPr>
      <t>HFC, PFC, SF</t>
    </r>
    <r>
      <rPr>
        <vertAlign val="subscript"/>
        <sz val="11"/>
        <color theme="1"/>
        <rFont val="Calibri"/>
        <family val="2"/>
      </rPr>
      <t>6</t>
    </r>
  </si>
  <si>
    <t>#6 Oil</t>
  </si>
  <si>
    <r>
      <rPr>
        <sz val="11"/>
        <color theme="1"/>
        <rFont val="Calibri"/>
        <family val="2"/>
      </rPr>
      <t>CO</t>
    </r>
    <r>
      <rPr>
        <vertAlign val="subscript"/>
        <sz val="11"/>
        <color theme="1"/>
        <rFont val="Calibri"/>
        <family val="2"/>
      </rPr>
      <t>2</t>
    </r>
  </si>
  <si>
    <t>(metric tons CH4 /BBtu)</t>
  </si>
  <si>
    <t>(metric tons CH4)</t>
  </si>
  <si>
    <r>
      <rPr>
        <b/>
        <sz val="10"/>
        <color theme="1"/>
        <rFont val="Calibri"/>
        <family val="2"/>
      </rPr>
      <t>(MMTCO</t>
    </r>
    <r>
      <rPr>
        <b/>
        <vertAlign val="subscript"/>
        <sz val="10"/>
        <color theme="1"/>
        <rFont val="Calibri"/>
        <family val="2"/>
      </rPr>
      <t>2</t>
    </r>
    <r>
      <rPr>
        <b/>
        <sz val="10"/>
        <color theme="1"/>
        <rFont val="Calibri"/>
        <family val="2"/>
      </rPr>
      <t>E)</t>
    </r>
  </si>
  <si>
    <r>
      <rPr>
        <sz val="11"/>
        <color theme="1"/>
        <rFont val="Calibri"/>
        <family val="2"/>
      </rPr>
      <t>CH</t>
    </r>
    <r>
      <rPr>
        <vertAlign val="subscript"/>
        <sz val="11"/>
        <color theme="1"/>
        <rFont val="Calibri"/>
        <family val="2"/>
      </rPr>
      <t>4</t>
    </r>
  </si>
  <si>
    <r>
      <rPr>
        <sz val="11"/>
        <color theme="1"/>
        <rFont val="Calibri"/>
        <family val="2"/>
      </rPr>
      <t>HFC, PFC, SF</t>
    </r>
    <r>
      <rPr>
        <vertAlign val="subscript"/>
        <sz val="11"/>
        <color theme="1"/>
        <rFont val="Calibri"/>
        <family val="2"/>
      </rPr>
      <t>6</t>
    </r>
  </si>
  <si>
    <t>4-0307</t>
  </si>
  <si>
    <t>Aluminum Production</t>
  </si>
  <si>
    <t>No. 6 Oil</t>
  </si>
  <si>
    <t>4-0017</t>
  </si>
  <si>
    <r>
      <rPr>
        <sz val="11"/>
        <color theme="1"/>
        <rFont val="Calibri"/>
        <family val="2"/>
      </rPr>
      <t>CO</t>
    </r>
    <r>
      <rPr>
        <vertAlign val="subscript"/>
        <sz val="11"/>
        <color theme="1"/>
        <rFont val="Calibri"/>
        <family val="2"/>
      </rPr>
      <t>2</t>
    </r>
  </si>
  <si>
    <t>Boiler 2  (Unit 4)</t>
  </si>
  <si>
    <t>P-No.6 Oil</t>
  </si>
  <si>
    <r>
      <rPr>
        <sz val="11"/>
        <color theme="1"/>
        <rFont val="Calibri"/>
        <family val="2"/>
      </rPr>
      <t>CH</t>
    </r>
    <r>
      <rPr>
        <vertAlign val="subscript"/>
        <sz val="11"/>
        <color theme="1"/>
        <rFont val="Calibri"/>
        <family val="2"/>
      </rPr>
      <t>4</t>
    </r>
  </si>
  <si>
    <r>
      <rPr>
        <sz val="11"/>
        <color theme="1"/>
        <rFont val="Calibri"/>
        <family val="2"/>
      </rPr>
      <t>HFC, PFC, SF</t>
    </r>
    <r>
      <rPr>
        <vertAlign val="subscript"/>
        <sz val="11"/>
        <color theme="1"/>
        <rFont val="Calibri"/>
        <family val="2"/>
      </rPr>
      <t>6</t>
    </r>
  </si>
  <si>
    <t>Agriculture</t>
  </si>
  <si>
    <t>CO2_GWP=</t>
  </si>
  <si>
    <t>Enteric Fermentation</t>
  </si>
  <si>
    <r>
      <rPr>
        <sz val="11"/>
        <color theme="1"/>
        <rFont val="Calibri"/>
        <family val="2"/>
      </rPr>
      <t>CO</t>
    </r>
    <r>
      <rPr>
        <vertAlign val="subscript"/>
        <sz val="11"/>
        <color theme="1"/>
        <rFont val="Calibri"/>
        <family val="2"/>
      </rPr>
      <t>2</t>
    </r>
  </si>
  <si>
    <t>Waste Oil</t>
  </si>
  <si>
    <r>
      <rPr>
        <sz val="11"/>
        <color theme="1"/>
        <rFont val="Calibri"/>
        <family val="2"/>
      </rPr>
      <t>CH</t>
    </r>
    <r>
      <rPr>
        <vertAlign val="subscript"/>
        <sz val="11"/>
        <color theme="1"/>
        <rFont val="Calibri"/>
        <family val="2"/>
      </rPr>
      <t>4</t>
    </r>
  </si>
  <si>
    <t>CH4_GWP =</t>
  </si>
  <si>
    <r>
      <rPr>
        <sz val="11"/>
        <color theme="1"/>
        <rFont val="Calibri"/>
        <family val="2"/>
      </rPr>
      <t>N</t>
    </r>
    <r>
      <rPr>
        <vertAlign val="subscript"/>
        <sz val="11"/>
        <color theme="1"/>
        <rFont val="Calibri"/>
        <family val="2"/>
      </rPr>
      <t>2</t>
    </r>
    <r>
      <rPr>
        <sz val="11"/>
        <color theme="1"/>
        <rFont val="Calibri"/>
        <family val="2"/>
      </rPr>
      <t>O</t>
    </r>
  </si>
  <si>
    <t>Manure Management</t>
  </si>
  <si>
    <t xml:space="preserve">Severstal </t>
  </si>
  <si>
    <r>
      <rPr>
        <b/>
        <sz val="10"/>
        <color theme="1"/>
        <rFont val="Arial"/>
        <family val="2"/>
      </rPr>
      <t>Pennwood Boilers</t>
    </r>
    <r>
      <rPr>
        <sz val="8"/>
        <color theme="1"/>
        <rFont val="Arial"/>
        <family val="2"/>
      </rPr>
      <t xml:space="preserve"> No. 1 -  No. 4</t>
    </r>
  </si>
  <si>
    <r>
      <rPr>
        <sz val="11"/>
        <color theme="1"/>
        <rFont val="Calibri"/>
        <family val="2"/>
      </rPr>
      <t>CO</t>
    </r>
    <r>
      <rPr>
        <vertAlign val="subscript"/>
        <sz val="11"/>
        <color theme="1"/>
        <rFont val="Calibri"/>
        <family val="2"/>
      </rPr>
      <t>2</t>
    </r>
  </si>
  <si>
    <t>N2O_GWP=</t>
  </si>
  <si>
    <t>5-0491-15</t>
  </si>
  <si>
    <r>
      <rPr>
        <sz val="11"/>
        <color theme="1"/>
        <rFont val="Calibri"/>
        <family val="2"/>
      </rPr>
      <t>CH</t>
    </r>
    <r>
      <rPr>
        <vertAlign val="subscript"/>
        <sz val="11"/>
        <color theme="1"/>
        <rFont val="Calibri"/>
        <family val="2"/>
      </rPr>
      <t>4</t>
    </r>
  </si>
  <si>
    <t>SF6_GWP =</t>
  </si>
  <si>
    <r>
      <rPr>
        <sz val="11"/>
        <color theme="1"/>
        <rFont val="Calibri"/>
        <family val="2"/>
      </rPr>
      <t>N</t>
    </r>
    <r>
      <rPr>
        <vertAlign val="subscript"/>
        <sz val="11"/>
        <color theme="1"/>
        <rFont val="Calibri"/>
        <family val="2"/>
      </rPr>
      <t>2</t>
    </r>
    <r>
      <rPr>
        <sz val="11"/>
        <color theme="1"/>
        <rFont val="Calibri"/>
        <family val="2"/>
      </rPr>
      <t>O</t>
    </r>
  </si>
  <si>
    <t>Residual Fuel Oil (MMBTU)</t>
  </si>
  <si>
    <t>Agricultural Soils</t>
  </si>
  <si>
    <r>
      <rPr>
        <sz val="11"/>
        <color theme="1"/>
        <rFont val="Calibri"/>
        <family val="2"/>
      </rPr>
      <t>CO</t>
    </r>
    <r>
      <rPr>
        <vertAlign val="subscript"/>
        <sz val="11"/>
        <color theme="1"/>
        <rFont val="Calibri"/>
        <family val="2"/>
      </rPr>
      <t>2</t>
    </r>
  </si>
  <si>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</si>
  <si>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</si>
  <si>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Total Petroleum (MMBTU)</t>
  </si>
  <si>
    <t>Agricultural Burning</t>
  </si>
  <si>
    <t>N2O EMISSION SUMMARY: NON-RGGI ALL UNITS</t>
  </si>
  <si>
    <r>
      <rPr>
        <sz val="11"/>
        <color theme="1"/>
        <rFont val="Calibri"/>
        <family val="2"/>
      </rPr>
      <t>CO</t>
    </r>
    <r>
      <rPr>
        <vertAlign val="subscript"/>
        <sz val="11"/>
        <color theme="1"/>
        <rFont val="Calibri"/>
        <family val="2"/>
      </rPr>
      <t>2</t>
    </r>
  </si>
  <si>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</si>
  <si>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</si>
  <si>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Emissions</t>
  </si>
  <si>
    <t xml:space="preserve">Urea Fertilizer Usage and Liming </t>
  </si>
  <si>
    <t>RGGI NATURAL GAS COMBUSTION BY UNIT</t>
  </si>
  <si>
    <t>(metric tons N2O/BBtu)</t>
  </si>
  <si>
    <t>(metric tons N2O)</t>
  </si>
  <si>
    <r>
      <rPr>
        <sz val="11"/>
        <color theme="1"/>
        <rFont val="Calibri"/>
        <family val="2"/>
      </rPr>
      <t>CO</t>
    </r>
    <r>
      <rPr>
        <vertAlign val="subscript"/>
        <sz val="11"/>
        <color theme="1"/>
        <rFont val="Calibri"/>
        <family val="2"/>
      </rPr>
      <t>2</t>
    </r>
  </si>
  <si>
    <r>
      <rPr>
        <b/>
        <sz val="10"/>
        <color theme="1"/>
        <rFont val="Calibri"/>
        <family val="2"/>
      </rPr>
      <t>(MMTCO</t>
    </r>
    <r>
      <rPr>
        <b/>
        <vertAlign val="subscript"/>
        <sz val="10"/>
        <color theme="1"/>
        <rFont val="Calibri"/>
        <family val="2"/>
      </rPr>
      <t>2</t>
    </r>
    <r>
      <rPr>
        <b/>
        <sz val="10"/>
        <color theme="1"/>
        <rFont val="Calibri"/>
        <family val="2"/>
      </rPr>
      <t>E)</t>
    </r>
  </si>
  <si>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</si>
  <si>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</si>
  <si>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Waste Management</t>
  </si>
  <si>
    <r>
      <rPr>
        <b/>
        <sz val="10"/>
        <color theme="1"/>
        <rFont val="Arial"/>
        <family val="2"/>
      </rPr>
      <t>CO</t>
    </r>
    <r>
      <rPr>
        <b/>
        <vertAlign val="subscript"/>
        <sz val="10"/>
        <color theme="1"/>
        <rFont val="Arial"/>
        <family val="2"/>
      </rPr>
      <t>2</t>
    </r>
    <r>
      <rPr>
        <b/>
        <sz val="10"/>
        <color theme="1"/>
        <rFont val="Arial"/>
        <family val="2"/>
      </rPr>
      <t xml:space="preserve"> Emmission </t>
    </r>
  </si>
  <si>
    <t>(Scf)</t>
  </si>
  <si>
    <t>Waste Combustion</t>
  </si>
  <si>
    <t>001-6-0136</t>
  </si>
  <si>
    <r>
      <rPr>
        <sz val="11"/>
        <color theme="1"/>
        <rFont val="Calibri"/>
        <family val="2"/>
      </rPr>
      <t>CO</t>
    </r>
    <r>
      <rPr>
        <vertAlign val="subscript"/>
        <sz val="11"/>
        <color theme="1"/>
        <rFont val="Calibri"/>
        <family val="2"/>
      </rPr>
      <t>2</t>
    </r>
  </si>
  <si>
    <t>Limestone Dryer</t>
  </si>
  <si>
    <t>Btu/scf</t>
  </si>
  <si>
    <t>001-6-0243/0244</t>
  </si>
  <si>
    <t>Natural Gas (Space)  Heater</t>
  </si>
  <si>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</si>
  <si>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</si>
  <si>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 xml:space="preserve">                                                                                                                                                             Total</t>
  </si>
  <si>
    <t>Landfills</t>
  </si>
  <si>
    <r>
      <rPr>
        <sz val="11"/>
        <color theme="1"/>
        <rFont val="Calibri"/>
        <family val="2"/>
      </rPr>
      <t>CO</t>
    </r>
    <r>
      <rPr>
        <vertAlign val="subscript"/>
        <sz val="11"/>
        <color theme="1"/>
        <rFont val="Calibri"/>
        <family val="2"/>
      </rPr>
      <t>2</t>
    </r>
  </si>
  <si>
    <t>S-Gas</t>
  </si>
  <si>
    <t>MMBtu/1E+06 scf</t>
  </si>
  <si>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</si>
  <si>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</si>
  <si>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GHG EMISSION SUMMARY: NON-RGGI ALL UNITS</t>
  </si>
  <si>
    <t>Wastewater Management</t>
  </si>
  <si>
    <r>
      <rPr>
        <sz val="11"/>
        <color theme="1"/>
        <rFont val="Calibri"/>
        <family val="2"/>
      </rPr>
      <t>CO</t>
    </r>
    <r>
      <rPr>
        <vertAlign val="subscript"/>
        <sz val="11"/>
        <color theme="1"/>
        <rFont val="Calibri"/>
        <family val="2"/>
      </rPr>
      <t>2</t>
    </r>
  </si>
  <si>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</si>
  <si>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</si>
  <si>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r>
      <rPr>
        <b/>
        <sz val="10"/>
        <color theme="1"/>
        <rFont val="Calibri"/>
        <family val="2"/>
      </rPr>
      <t>CO</t>
    </r>
    <r>
      <rPr>
        <b/>
        <vertAlign val="subscript"/>
        <sz val="10"/>
        <color theme="1"/>
        <rFont val="Calibri"/>
        <family val="2"/>
      </rPr>
      <t>2</t>
    </r>
  </si>
  <si>
    <r>
      <rPr>
        <b/>
        <sz val="10"/>
        <color theme="1"/>
        <rFont val="Calibri"/>
        <family val="2"/>
      </rPr>
      <t>N</t>
    </r>
    <r>
      <rPr>
        <b/>
        <vertAlign val="subscript"/>
        <sz val="10"/>
        <color theme="1"/>
        <rFont val="Calibri"/>
        <family val="2"/>
      </rPr>
      <t>2</t>
    </r>
    <r>
      <rPr>
        <b/>
        <sz val="10"/>
        <color theme="1"/>
        <rFont val="Calibri"/>
        <family val="2"/>
      </rPr>
      <t>O</t>
    </r>
  </si>
  <si>
    <r>
      <rPr>
        <b/>
        <sz val="10"/>
        <color theme="1"/>
        <rFont val="Calibri"/>
        <family val="2"/>
      </rPr>
      <t>CH</t>
    </r>
    <r>
      <rPr>
        <b/>
        <vertAlign val="subscript"/>
        <sz val="10"/>
        <color theme="1"/>
        <rFont val="Calibri"/>
        <family val="2"/>
      </rPr>
      <t>4</t>
    </r>
  </si>
  <si>
    <t>Residential Open Burning</t>
  </si>
  <si>
    <r>
      <rPr>
        <sz val="11"/>
        <color theme="1"/>
        <rFont val="Calibri"/>
        <family val="2"/>
      </rPr>
      <t>CO</t>
    </r>
    <r>
      <rPr>
        <vertAlign val="subscript"/>
        <sz val="11"/>
        <color theme="1"/>
        <rFont val="Calibri"/>
        <family val="2"/>
      </rPr>
      <t>2</t>
    </r>
  </si>
  <si>
    <r>
      <rPr>
        <b/>
        <sz val="10"/>
        <color theme="1"/>
        <rFont val="Calibri"/>
        <family val="2"/>
      </rPr>
      <t>(MMTCO</t>
    </r>
    <r>
      <rPr>
        <b/>
        <vertAlign val="subscript"/>
        <sz val="10"/>
        <color theme="1"/>
        <rFont val="Calibri"/>
        <family val="2"/>
      </rPr>
      <t>2</t>
    </r>
    <r>
      <rPr>
        <b/>
        <sz val="10"/>
        <color theme="1"/>
        <rFont val="Calibri"/>
        <family val="2"/>
      </rPr>
      <t>E)</t>
    </r>
  </si>
  <si>
    <r>
      <rPr>
        <b/>
        <sz val="10"/>
        <color theme="1"/>
        <rFont val="Calibri"/>
        <family val="2"/>
      </rPr>
      <t>(MMTCO</t>
    </r>
    <r>
      <rPr>
        <b/>
        <vertAlign val="subscript"/>
        <sz val="10"/>
        <color theme="1"/>
        <rFont val="Calibri"/>
        <family val="2"/>
      </rPr>
      <t>2</t>
    </r>
    <r>
      <rPr>
        <b/>
        <sz val="10"/>
        <color theme="1"/>
        <rFont val="Calibri"/>
        <family val="2"/>
      </rPr>
      <t>E)</t>
    </r>
  </si>
  <si>
    <r>
      <rPr>
        <b/>
        <sz val="10"/>
        <color theme="1"/>
        <rFont val="Calibri"/>
        <family val="2"/>
      </rPr>
      <t>(MMTCO</t>
    </r>
    <r>
      <rPr>
        <b/>
        <vertAlign val="subscript"/>
        <sz val="10"/>
        <color theme="1"/>
        <rFont val="Calibri"/>
        <family val="2"/>
      </rPr>
      <t>2</t>
    </r>
    <r>
      <rPr>
        <b/>
        <sz val="10"/>
        <color theme="1"/>
        <rFont val="Calibri"/>
        <family val="2"/>
      </rPr>
      <t>E)</t>
    </r>
  </si>
  <si>
    <r>
      <rPr>
        <b/>
        <sz val="10"/>
        <color theme="1"/>
        <rFont val="Calibri"/>
        <family val="2"/>
      </rPr>
      <t>(MMTCO</t>
    </r>
    <r>
      <rPr>
        <b/>
        <vertAlign val="subscript"/>
        <sz val="10"/>
        <color theme="1"/>
        <rFont val="Calibri"/>
        <family val="2"/>
      </rPr>
      <t>2</t>
    </r>
    <r>
      <rPr>
        <b/>
        <sz val="10"/>
        <color theme="1"/>
        <rFont val="Calibri"/>
        <family val="2"/>
      </rPr>
      <t>E)</t>
    </r>
  </si>
  <si>
    <t>Residential Consumption and CO2 Emissions in Maryland</t>
  </si>
  <si>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</si>
  <si>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</si>
  <si>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r>
      <rPr>
        <b/>
        <sz val="11"/>
        <color theme="1"/>
        <rFont val="Calibri"/>
        <family val="2"/>
      </rPr>
      <t>Gross Emissions</t>
    </r>
    <r>
      <rPr>
        <sz val="11"/>
        <color theme="1"/>
        <rFont val="Calibri"/>
        <family val="2"/>
      </rPr>
      <t xml:space="preserve"> (Excludes Sinks)</t>
    </r>
  </si>
  <si>
    <r>
      <rPr>
        <sz val="14"/>
        <color theme="1"/>
        <rFont val="Comic Sans MS"/>
        <family val="4"/>
      </rPr>
      <t>Residential Sector CO</t>
    </r>
    <r>
      <rPr>
        <vertAlign val="subscript"/>
        <sz val="14"/>
        <color theme="1"/>
        <rFont val="Comic Sans MS"/>
        <family val="4"/>
      </rPr>
      <t>2</t>
    </r>
  </si>
  <si>
    <t>033-01827</t>
  </si>
  <si>
    <t xml:space="preserve">Chalkpoint -SMECO </t>
  </si>
  <si>
    <t>Forestry and Land Use</t>
  </si>
  <si>
    <t>1827-5-1289</t>
  </si>
  <si>
    <t>Combustion Turbine</t>
  </si>
  <si>
    <t>Tree and Forest Carbon</t>
  </si>
  <si>
    <r>
      <rPr>
        <b/>
        <sz val="7"/>
        <color theme="1"/>
        <rFont val="Comic Sans MS"/>
        <family val="4"/>
      </rPr>
      <t>(MMTCO</t>
    </r>
    <r>
      <rPr>
        <b/>
        <vertAlign val="subscript"/>
        <sz val="7"/>
        <color theme="1"/>
        <rFont val="Comic Sans MS"/>
        <family val="4"/>
      </rPr>
      <t>2</t>
    </r>
    <r>
      <rPr>
        <b/>
        <sz val="7"/>
        <color theme="1"/>
        <rFont val="Comic Sans MS"/>
        <family val="4"/>
      </rPr>
      <t>E)</t>
    </r>
  </si>
  <si>
    <t>Wood Products and Landfilled Carbon</t>
  </si>
  <si>
    <t>Settlement Soils</t>
  </si>
  <si>
    <t>MMBTU/ 10E+06 scf</t>
  </si>
  <si>
    <r>
      <rPr>
        <sz val="11"/>
        <color theme="1"/>
        <rFont val="Calibri"/>
        <family val="2"/>
      </rPr>
      <t>N</t>
    </r>
    <r>
      <rPr>
        <vertAlign val="subscript"/>
        <sz val="11"/>
        <color theme="1"/>
        <rFont val="Calibri"/>
        <family val="2"/>
      </rPr>
      <t>2</t>
    </r>
    <r>
      <rPr>
        <sz val="11"/>
        <color theme="1"/>
        <rFont val="Calibri"/>
        <family val="2"/>
      </rPr>
      <t>O</t>
    </r>
  </si>
  <si>
    <t>Forest Fires</t>
  </si>
  <si>
    <r>
      <rPr>
        <sz val="11"/>
        <color theme="1"/>
        <rFont val="Calibri"/>
        <family val="2"/>
      </rPr>
      <t>CH</t>
    </r>
    <r>
      <rPr>
        <vertAlign val="subscript"/>
        <sz val="11"/>
        <color theme="1"/>
        <rFont val="Calibri"/>
        <family val="2"/>
      </rPr>
      <t>4</t>
    </r>
  </si>
  <si>
    <r>
      <rPr>
        <sz val="11"/>
        <color theme="1"/>
        <rFont val="Calibri"/>
        <family val="2"/>
      </rPr>
      <t>N</t>
    </r>
    <r>
      <rPr>
        <vertAlign val="subscript"/>
        <sz val="11"/>
        <color theme="1"/>
        <rFont val="Calibri"/>
        <family val="2"/>
      </rPr>
      <t>2</t>
    </r>
    <r>
      <rPr>
        <sz val="11"/>
        <color theme="1"/>
        <rFont val="Calibri"/>
        <family val="2"/>
      </rPr>
      <t>O</t>
    </r>
  </si>
  <si>
    <t>Agricultural Soil Carbon</t>
  </si>
  <si>
    <t>Wetlands and SAV</t>
  </si>
  <si>
    <r>
      <rPr>
        <sz val="11"/>
        <color theme="1"/>
        <rFont val="Calibri"/>
        <family val="2"/>
      </rPr>
      <t>CO</t>
    </r>
    <r>
      <rPr>
        <vertAlign val="subscript"/>
        <sz val="11"/>
        <color theme="1"/>
        <rFont val="Calibri"/>
        <family val="2"/>
      </rPr>
      <t>2</t>
    </r>
  </si>
  <si>
    <r>
      <rPr>
        <sz val="11"/>
        <color theme="1"/>
        <rFont val="Calibri"/>
        <family val="2"/>
      </rPr>
      <t>CH</t>
    </r>
    <r>
      <rPr>
        <vertAlign val="subscript"/>
        <sz val="11"/>
        <color theme="1"/>
        <rFont val="Calibri"/>
        <family val="2"/>
      </rPr>
      <t>4</t>
    </r>
  </si>
  <si>
    <r>
      <rPr>
        <b/>
        <sz val="11"/>
        <color theme="1"/>
        <rFont val="Calibri"/>
        <family val="2"/>
      </rPr>
      <t>Net Emissions</t>
    </r>
    <r>
      <rPr>
        <sz val="11"/>
        <color theme="1"/>
        <rFont val="Calibri"/>
        <family val="2"/>
      </rPr>
      <t xml:space="preserve"> (Including Forestry, Land Use, and Agricultural Sinks)</t>
    </r>
  </si>
  <si>
    <t>LPG</t>
  </si>
  <si>
    <t>MMBTU/10E+06 scf</t>
  </si>
  <si>
    <t>4-1082</t>
  </si>
  <si>
    <t xml:space="preserve"> Boiler #4</t>
  </si>
  <si>
    <t>2006 (20-yr)</t>
  </si>
  <si>
    <t>2006 (100-yr)</t>
  </si>
  <si>
    <t>510-0006</t>
  </si>
  <si>
    <t xml:space="preserve"> Westport</t>
  </si>
  <si>
    <t>RCI Fuel Use</t>
  </si>
  <si>
    <t>5-0005</t>
  </si>
  <si>
    <t xml:space="preserve">Combustion Turbine Unit 5 </t>
  </si>
  <si>
    <t>Transportation - Onroad</t>
  </si>
  <si>
    <r>
      <rPr>
        <sz val="14"/>
        <color theme="1"/>
        <rFont val="Comic Sans MS"/>
        <family val="4"/>
      </rPr>
      <t>Residential Sector N</t>
    </r>
    <r>
      <rPr>
        <vertAlign val="subscript"/>
        <sz val="14"/>
        <color theme="1"/>
        <rFont val="Comic Sans MS"/>
        <family val="4"/>
      </rPr>
      <t>2</t>
    </r>
    <r>
      <rPr>
        <sz val="14"/>
        <color theme="1"/>
        <rFont val="Comic Sans MS"/>
        <family val="4"/>
      </rPr>
      <t>0</t>
    </r>
  </si>
  <si>
    <t>Transportation - Nonroad</t>
  </si>
  <si>
    <r>
      <rPr>
        <b/>
        <sz val="7"/>
        <color theme="1"/>
        <rFont val="Comic Sans MS"/>
        <family val="4"/>
      </rPr>
      <t>(metric tons N</t>
    </r>
    <r>
      <rPr>
        <b/>
        <vertAlign val="subscript"/>
        <sz val="7"/>
        <color theme="1"/>
        <rFont val="Comic Sans MS"/>
        <family val="4"/>
      </rPr>
      <t>2</t>
    </r>
    <r>
      <rPr>
        <b/>
        <sz val="7"/>
        <color theme="1"/>
        <rFont val="Comic Sans MS"/>
        <family val="4"/>
      </rPr>
      <t>O/BBtu)</t>
    </r>
  </si>
  <si>
    <r>
      <rPr>
        <b/>
        <sz val="7"/>
        <color theme="1"/>
        <rFont val="Comic Sans MS"/>
        <family val="4"/>
      </rPr>
      <t>(metric tons N</t>
    </r>
    <r>
      <rPr>
        <b/>
        <vertAlign val="subscript"/>
        <sz val="7"/>
        <color theme="1"/>
        <rFont val="Comic Sans MS"/>
        <family val="4"/>
      </rPr>
      <t>2</t>
    </r>
    <r>
      <rPr>
        <b/>
        <sz val="7"/>
        <color theme="1"/>
        <rFont val="Comic Sans MS"/>
        <family val="4"/>
      </rPr>
      <t>O)</t>
    </r>
  </si>
  <si>
    <r>
      <rPr>
        <b/>
        <sz val="7"/>
        <color theme="1"/>
        <rFont val="Comic Sans MS"/>
        <family val="4"/>
      </rPr>
      <t>(MMTCO</t>
    </r>
    <r>
      <rPr>
        <b/>
        <vertAlign val="subscript"/>
        <sz val="7"/>
        <color theme="1"/>
        <rFont val="Comic Sans MS"/>
        <family val="4"/>
      </rPr>
      <t>2</t>
    </r>
    <r>
      <rPr>
        <b/>
        <sz val="7"/>
        <color theme="1"/>
        <rFont val="Comic Sans MS"/>
        <family val="4"/>
      </rPr>
      <t>E)</t>
    </r>
  </si>
  <si>
    <t>033-2200</t>
  </si>
  <si>
    <t>Panda Brandywine</t>
  </si>
  <si>
    <t>5-0844</t>
  </si>
  <si>
    <t>MMBtu/ scf</t>
  </si>
  <si>
    <t>5-0845</t>
  </si>
  <si>
    <t>MMBtu/  scf</t>
  </si>
  <si>
    <t>015-0202</t>
  </si>
  <si>
    <t xml:space="preserve">Rock Spring </t>
  </si>
  <si>
    <t>5-0076</t>
  </si>
  <si>
    <t>Turbine 1</t>
  </si>
  <si>
    <t>5-0077</t>
  </si>
  <si>
    <t>Turbine 2</t>
  </si>
  <si>
    <t>5-0078</t>
  </si>
  <si>
    <t>Turbine 3</t>
  </si>
  <si>
    <t>5-0079</t>
  </si>
  <si>
    <t>Turbine 4</t>
  </si>
  <si>
    <t>Severstal</t>
  </si>
  <si>
    <t>BFG</t>
  </si>
  <si>
    <r>
      <rPr>
        <sz val="14"/>
        <color theme="1"/>
        <rFont val="Comic Sans MS"/>
        <family val="4"/>
      </rPr>
      <t>Residential Sector CH</t>
    </r>
    <r>
      <rPr>
        <vertAlign val="subscript"/>
        <sz val="14"/>
        <color theme="1"/>
        <rFont val="Comic Sans MS"/>
        <family val="4"/>
      </rPr>
      <t>4</t>
    </r>
  </si>
  <si>
    <t>Natural Gas (MMBTU)</t>
  </si>
  <si>
    <r>
      <rPr>
        <b/>
        <sz val="7"/>
        <color theme="1"/>
        <rFont val="Comic Sans MS"/>
        <family val="4"/>
      </rPr>
      <t>(metric tons CH</t>
    </r>
    <r>
      <rPr>
        <b/>
        <vertAlign val="subscript"/>
        <sz val="7"/>
        <color theme="1"/>
        <rFont val="Comic Sans MS"/>
        <family val="4"/>
      </rPr>
      <t>4</t>
    </r>
    <r>
      <rPr>
        <b/>
        <sz val="7"/>
        <color theme="1"/>
        <rFont val="Comic Sans MS"/>
        <family val="4"/>
      </rPr>
      <t>)</t>
    </r>
  </si>
  <si>
    <t>(MMTCO2E)</t>
  </si>
  <si>
    <t>CO2 EMISSION SUMMARY</t>
  </si>
  <si>
    <t>RGGI ALL UNITS</t>
  </si>
  <si>
    <t>MMBTU</t>
  </si>
  <si>
    <r>
      <rPr>
        <b/>
        <sz val="10"/>
        <color theme="1"/>
        <rFont val="Arial"/>
        <family val="2"/>
      </rPr>
      <t>CO</t>
    </r>
    <r>
      <rPr>
        <b/>
        <vertAlign val="subscript"/>
        <sz val="10"/>
        <color theme="1"/>
        <rFont val="Arial"/>
        <family val="2"/>
      </rPr>
      <t>2</t>
    </r>
    <r>
      <rPr>
        <b/>
        <sz val="10"/>
        <color theme="1"/>
        <rFont val="Arial"/>
        <family val="2"/>
      </rPr>
      <t xml:space="preserve"> Emission </t>
    </r>
  </si>
  <si>
    <r>
      <rPr>
        <b/>
        <sz val="10"/>
        <color theme="1"/>
        <rFont val="Arial"/>
        <family val="2"/>
      </rPr>
      <t>CO</t>
    </r>
    <r>
      <rPr>
        <b/>
        <vertAlign val="subscript"/>
        <sz val="10"/>
        <color theme="1"/>
        <rFont val="Arial"/>
        <family val="2"/>
      </rPr>
      <t>2</t>
    </r>
    <r>
      <rPr>
        <b/>
        <sz val="10"/>
        <color theme="1"/>
        <rFont val="Arial"/>
        <family val="2"/>
      </rPr>
      <t xml:space="preserve"> Emission </t>
    </r>
  </si>
  <si>
    <r>
      <rPr>
        <b/>
        <sz val="10"/>
        <color theme="1"/>
        <rFont val="Arial"/>
        <family val="2"/>
      </rPr>
      <t>CO</t>
    </r>
    <r>
      <rPr>
        <b/>
        <vertAlign val="subscript"/>
        <sz val="10"/>
        <color theme="1"/>
        <rFont val="Arial"/>
        <family val="2"/>
      </rPr>
      <t>2</t>
    </r>
    <r>
      <rPr>
        <b/>
        <sz val="10"/>
        <color theme="1"/>
        <rFont val="Arial"/>
        <family val="2"/>
      </rPr>
      <t xml:space="preserve"> Emission</t>
    </r>
  </si>
  <si>
    <r>
      <rPr>
        <b/>
        <sz val="10"/>
        <color theme="1"/>
        <rFont val="Arial"/>
        <family val="2"/>
      </rPr>
      <t>CO</t>
    </r>
    <r>
      <rPr>
        <b/>
        <vertAlign val="subscript"/>
        <sz val="10"/>
        <color theme="1"/>
        <rFont val="Arial"/>
        <family val="2"/>
      </rPr>
      <t>2</t>
    </r>
    <r>
      <rPr>
        <b/>
        <sz val="10"/>
        <color theme="1"/>
        <rFont val="Arial"/>
        <family val="2"/>
      </rPr>
      <t xml:space="preserve"> Emission </t>
    </r>
  </si>
  <si>
    <t>(metric tons)</t>
  </si>
  <si>
    <r>
      <rPr>
        <b/>
        <sz val="10"/>
        <color theme="1"/>
        <rFont val="Arial"/>
        <family val="2"/>
      </rPr>
      <t xml:space="preserve"> (MMTCO</t>
    </r>
    <r>
      <rPr>
        <b/>
        <vertAlign val="subscript"/>
        <sz val="10"/>
        <color theme="1"/>
        <rFont val="Arial"/>
        <family val="2"/>
      </rPr>
      <t>2</t>
    </r>
    <r>
      <rPr>
        <b/>
        <sz val="10"/>
        <color theme="1"/>
        <rFont val="Arial"/>
        <family val="2"/>
      </rPr>
      <t>)</t>
    </r>
  </si>
  <si>
    <t>(MMTC)</t>
  </si>
  <si>
    <t xml:space="preserve">Residential Sector 2006 GHG Emissions </t>
  </si>
  <si>
    <r>
      <rPr>
        <b/>
        <sz val="8"/>
        <color theme="1"/>
        <rFont val="Arial"/>
        <family val="2"/>
      </rPr>
      <t>CO</t>
    </r>
    <r>
      <rPr>
        <b/>
        <vertAlign val="subscript"/>
        <sz val="8"/>
        <color theme="1"/>
        <rFont val="Arial"/>
        <family val="2"/>
      </rPr>
      <t>2</t>
    </r>
  </si>
  <si>
    <r>
      <rPr>
        <b/>
        <sz val="8"/>
        <color theme="1"/>
        <rFont val="Arial"/>
        <family val="2"/>
      </rPr>
      <t>N</t>
    </r>
    <r>
      <rPr>
        <b/>
        <vertAlign val="subscript"/>
        <sz val="8"/>
        <color theme="1"/>
        <rFont val="Arial"/>
        <family val="2"/>
      </rPr>
      <t>2</t>
    </r>
    <r>
      <rPr>
        <b/>
        <sz val="8"/>
        <color theme="1"/>
        <rFont val="Arial"/>
        <family val="2"/>
      </rPr>
      <t>O</t>
    </r>
  </si>
  <si>
    <r>
      <rPr>
        <b/>
        <sz val="8"/>
        <color theme="1"/>
        <rFont val="Arial"/>
        <family val="2"/>
      </rPr>
      <t>CH</t>
    </r>
    <r>
      <rPr>
        <b/>
        <vertAlign val="subscript"/>
        <sz val="8"/>
        <color theme="1"/>
        <rFont val="Arial"/>
        <family val="2"/>
      </rPr>
      <t>4</t>
    </r>
  </si>
  <si>
    <r>
      <rPr>
        <b/>
        <sz val="8"/>
        <color theme="1"/>
        <rFont val="Arial"/>
        <family val="2"/>
      </rPr>
      <t>(MMTCO</t>
    </r>
    <r>
      <rPr>
        <b/>
        <vertAlign val="subscript"/>
        <sz val="8"/>
        <color theme="1"/>
        <rFont val="Arial"/>
        <family val="2"/>
      </rPr>
      <t>2</t>
    </r>
    <r>
      <rPr>
        <b/>
        <sz val="8"/>
        <color theme="1"/>
        <rFont val="Arial"/>
        <family val="2"/>
      </rPr>
      <t>E)</t>
    </r>
  </si>
  <si>
    <r>
      <rPr>
        <b/>
        <sz val="8"/>
        <color theme="1"/>
        <rFont val="Arial"/>
        <family val="2"/>
      </rPr>
      <t>(MMTCO</t>
    </r>
    <r>
      <rPr>
        <b/>
        <vertAlign val="subscript"/>
        <sz val="8"/>
        <color theme="1"/>
        <rFont val="Arial"/>
        <family val="2"/>
      </rPr>
      <t>2</t>
    </r>
    <r>
      <rPr>
        <b/>
        <sz val="8"/>
        <color theme="1"/>
        <rFont val="Arial"/>
        <family val="2"/>
      </rPr>
      <t>E)</t>
    </r>
  </si>
  <si>
    <r>
      <rPr>
        <b/>
        <sz val="8"/>
        <color theme="1"/>
        <rFont val="Arial"/>
        <family val="2"/>
      </rPr>
      <t>(MMTCO</t>
    </r>
    <r>
      <rPr>
        <b/>
        <vertAlign val="subscript"/>
        <sz val="8"/>
        <color theme="1"/>
        <rFont val="Arial"/>
        <family val="2"/>
      </rPr>
      <t>2</t>
    </r>
    <r>
      <rPr>
        <b/>
        <sz val="8"/>
        <color theme="1"/>
        <rFont val="Arial"/>
        <family val="2"/>
      </rPr>
      <t>E)</t>
    </r>
  </si>
  <si>
    <r>
      <rPr>
        <b/>
        <sz val="8"/>
        <color theme="1"/>
        <rFont val="Arial"/>
        <family val="2"/>
      </rPr>
      <t>(MMTCO</t>
    </r>
    <r>
      <rPr>
        <b/>
        <vertAlign val="subscript"/>
        <sz val="8"/>
        <color theme="1"/>
        <rFont val="Arial"/>
        <family val="2"/>
      </rPr>
      <t>2</t>
    </r>
    <r>
      <rPr>
        <b/>
        <sz val="8"/>
        <color theme="1"/>
        <rFont val="Arial"/>
        <family val="2"/>
      </rPr>
      <t>E)</t>
    </r>
  </si>
  <si>
    <t>CH4 EMISSION SUMMARY</t>
  </si>
  <si>
    <r>
      <rPr>
        <sz val="14"/>
        <color rgb="FF000000"/>
        <rFont val="Comic Sans MS"/>
        <family val="4"/>
      </rPr>
      <t>Electric Power Sector CH</t>
    </r>
    <r>
      <rPr>
        <vertAlign val="subscript"/>
        <sz val="14"/>
        <color rgb="FF000000"/>
        <rFont val="Comic Sans MS"/>
        <family val="4"/>
      </rPr>
      <t>4</t>
    </r>
  </si>
  <si>
    <r>
      <rPr>
        <b/>
        <sz val="10"/>
        <color theme="1"/>
        <rFont val="Comic Sans MS"/>
        <family val="4"/>
      </rPr>
      <t>(MMTCO</t>
    </r>
    <r>
      <rPr>
        <b/>
        <vertAlign val="subscript"/>
        <sz val="10"/>
        <color theme="1"/>
        <rFont val="Comic Sans MS"/>
        <family val="4"/>
      </rPr>
      <t>2</t>
    </r>
    <r>
      <rPr>
        <b/>
        <sz val="10"/>
        <color theme="1"/>
        <rFont val="Comic Sans MS"/>
        <family val="4"/>
      </rPr>
      <t>E)</t>
    </r>
  </si>
  <si>
    <t>Commercial Consumption and CO2 Emissions in Maryland</t>
  </si>
  <si>
    <t>N2O EMISSION SUMMARY</t>
  </si>
  <si>
    <r>
      <rPr>
        <sz val="14"/>
        <color theme="1"/>
        <rFont val="Comic Sans MS"/>
        <family val="4"/>
      </rPr>
      <t>Electric Power Sector N</t>
    </r>
    <r>
      <rPr>
        <vertAlign val="subscript"/>
        <sz val="14"/>
        <color theme="1"/>
        <rFont val="Comic Sans MS"/>
        <family val="4"/>
      </rPr>
      <t>2</t>
    </r>
    <r>
      <rPr>
        <sz val="14"/>
        <color theme="1"/>
        <rFont val="Comic Sans MS"/>
        <family val="4"/>
      </rPr>
      <t>O</t>
    </r>
  </si>
  <si>
    <r>
      <rPr>
        <sz val="14"/>
        <color theme="1"/>
        <rFont val="Comic Sans MS"/>
        <family val="4"/>
      </rPr>
      <t>Commercial Sector CO</t>
    </r>
    <r>
      <rPr>
        <vertAlign val="subscript"/>
        <sz val="14"/>
        <color theme="1"/>
        <rFont val="Comic Sans MS"/>
        <family val="4"/>
      </rPr>
      <t>2</t>
    </r>
  </si>
  <si>
    <r>
      <rPr>
        <b/>
        <sz val="10"/>
        <color theme="1"/>
        <rFont val="Comic Sans MS"/>
        <family val="4"/>
      </rPr>
      <t>(MMTCO</t>
    </r>
    <r>
      <rPr>
        <b/>
        <vertAlign val="subscript"/>
        <sz val="10"/>
        <color theme="1"/>
        <rFont val="Comic Sans MS"/>
        <family val="4"/>
      </rPr>
      <t>2</t>
    </r>
    <r>
      <rPr>
        <b/>
        <sz val="10"/>
        <color theme="1"/>
        <rFont val="Comic Sans MS"/>
        <family val="4"/>
      </rPr>
      <t>E)</t>
    </r>
  </si>
  <si>
    <r>
      <rPr>
        <b/>
        <sz val="7"/>
        <color theme="1"/>
        <rFont val="Comic Sans MS"/>
        <family val="4"/>
      </rPr>
      <t>(MMTCO</t>
    </r>
    <r>
      <rPr>
        <b/>
        <vertAlign val="subscript"/>
        <sz val="7"/>
        <color theme="1"/>
        <rFont val="Comic Sans MS"/>
        <family val="4"/>
      </rPr>
      <t>2</t>
    </r>
    <r>
      <rPr>
        <b/>
        <sz val="7"/>
        <color theme="1"/>
        <rFont val="Comic Sans MS"/>
        <family val="4"/>
      </rPr>
      <t>E)</t>
    </r>
  </si>
  <si>
    <t>GHG EMISSION SUMMARY</t>
  </si>
  <si>
    <t>Electric Power Sector GHG</t>
  </si>
  <si>
    <r>
      <rPr>
        <b/>
        <sz val="10"/>
        <color theme="1"/>
        <rFont val="Comic Sans MS"/>
        <family val="4"/>
      </rPr>
      <t>CO</t>
    </r>
    <r>
      <rPr>
        <b/>
        <vertAlign val="subscript"/>
        <sz val="10"/>
        <color theme="1"/>
        <rFont val="Comic Sans MS"/>
        <family val="4"/>
      </rPr>
      <t>2</t>
    </r>
  </si>
  <si>
    <r>
      <rPr>
        <b/>
        <sz val="10"/>
        <color theme="1"/>
        <rFont val="Comic Sans MS"/>
        <family val="4"/>
      </rPr>
      <t>N</t>
    </r>
    <r>
      <rPr>
        <b/>
        <vertAlign val="subscript"/>
        <sz val="10"/>
        <color theme="1"/>
        <rFont val="Comic Sans MS"/>
        <family val="4"/>
      </rPr>
      <t>2</t>
    </r>
    <r>
      <rPr>
        <b/>
        <sz val="10"/>
        <color theme="1"/>
        <rFont val="Comic Sans MS"/>
        <family val="4"/>
      </rPr>
      <t>O</t>
    </r>
  </si>
  <si>
    <r>
      <rPr>
        <b/>
        <sz val="10"/>
        <color theme="1"/>
        <rFont val="Comic Sans MS"/>
        <family val="4"/>
      </rPr>
      <t>CH</t>
    </r>
    <r>
      <rPr>
        <b/>
        <vertAlign val="subscript"/>
        <sz val="10"/>
        <color theme="1"/>
        <rFont val="Comic Sans MS"/>
        <family val="4"/>
      </rPr>
      <t>4</t>
    </r>
  </si>
  <si>
    <r>
      <rPr>
        <b/>
        <sz val="10"/>
        <color theme="1"/>
        <rFont val="Comic Sans MS"/>
        <family val="4"/>
      </rPr>
      <t>(MMTCO</t>
    </r>
    <r>
      <rPr>
        <b/>
        <vertAlign val="subscript"/>
        <sz val="10"/>
        <color theme="1"/>
        <rFont val="Comic Sans MS"/>
        <family val="4"/>
      </rPr>
      <t>2</t>
    </r>
    <r>
      <rPr>
        <b/>
        <sz val="10"/>
        <color theme="1"/>
        <rFont val="Comic Sans MS"/>
        <family val="4"/>
      </rPr>
      <t>E)</t>
    </r>
  </si>
  <si>
    <r>
      <rPr>
        <b/>
        <sz val="10"/>
        <color theme="1"/>
        <rFont val="Comic Sans MS"/>
        <family val="4"/>
      </rPr>
      <t>(MMTCO</t>
    </r>
    <r>
      <rPr>
        <b/>
        <vertAlign val="subscript"/>
        <sz val="10"/>
        <color theme="1"/>
        <rFont val="Comic Sans MS"/>
        <family val="4"/>
      </rPr>
      <t>2</t>
    </r>
    <r>
      <rPr>
        <b/>
        <sz val="10"/>
        <color theme="1"/>
        <rFont val="Comic Sans MS"/>
        <family val="4"/>
      </rPr>
      <t>E)</t>
    </r>
  </si>
  <si>
    <r>
      <rPr>
        <b/>
        <sz val="10"/>
        <color theme="1"/>
        <rFont val="Comic Sans MS"/>
        <family val="4"/>
      </rPr>
      <t>(MMTCO</t>
    </r>
    <r>
      <rPr>
        <b/>
        <vertAlign val="subscript"/>
        <sz val="10"/>
        <color theme="1"/>
        <rFont val="Comic Sans MS"/>
        <family val="4"/>
      </rPr>
      <t>2</t>
    </r>
    <r>
      <rPr>
        <b/>
        <sz val="10"/>
        <color theme="1"/>
        <rFont val="Comic Sans MS"/>
        <family val="4"/>
      </rPr>
      <t>E)</t>
    </r>
  </si>
  <si>
    <r>
      <rPr>
        <b/>
        <sz val="10"/>
        <color theme="1"/>
        <rFont val="Comic Sans MS"/>
        <family val="4"/>
      </rPr>
      <t>(MMTCO</t>
    </r>
    <r>
      <rPr>
        <b/>
        <vertAlign val="subscript"/>
        <sz val="10"/>
        <color theme="1"/>
        <rFont val="Comic Sans MS"/>
        <family val="4"/>
      </rPr>
      <t>2</t>
    </r>
    <r>
      <rPr>
        <b/>
        <sz val="10"/>
        <color theme="1"/>
        <rFont val="Comic Sans MS"/>
        <family val="4"/>
      </rPr>
      <t>E)</t>
    </r>
  </si>
  <si>
    <t>Motor Gasoline</t>
  </si>
  <si>
    <r>
      <rPr>
        <sz val="14"/>
        <color theme="1"/>
        <rFont val="Comic Sans MS"/>
        <family val="4"/>
      </rPr>
      <t>Commercial Sector N</t>
    </r>
    <r>
      <rPr>
        <vertAlign val="subscript"/>
        <sz val="14"/>
        <color theme="1"/>
        <rFont val="Comic Sans MS"/>
        <family val="4"/>
      </rPr>
      <t>2</t>
    </r>
    <r>
      <rPr>
        <sz val="14"/>
        <color theme="1"/>
        <rFont val="Comic Sans MS"/>
        <family val="4"/>
      </rPr>
      <t>O</t>
    </r>
  </si>
  <si>
    <r>
      <rPr>
        <b/>
        <sz val="7"/>
        <color theme="1"/>
        <rFont val="Comic Sans MS"/>
        <family val="4"/>
      </rPr>
      <t>(metric tons N</t>
    </r>
    <r>
      <rPr>
        <b/>
        <vertAlign val="subscript"/>
        <sz val="7"/>
        <color theme="1"/>
        <rFont val="Comic Sans MS"/>
        <family val="4"/>
      </rPr>
      <t>2</t>
    </r>
    <r>
      <rPr>
        <b/>
        <sz val="7"/>
        <color theme="1"/>
        <rFont val="Comic Sans MS"/>
        <family val="4"/>
      </rPr>
      <t>O/BBtu)</t>
    </r>
  </si>
  <si>
    <r>
      <rPr>
        <b/>
        <sz val="7"/>
        <color theme="1"/>
        <rFont val="Comic Sans MS"/>
        <family val="4"/>
      </rPr>
      <t>(metric tons N</t>
    </r>
    <r>
      <rPr>
        <b/>
        <vertAlign val="subscript"/>
        <sz val="7"/>
        <color theme="1"/>
        <rFont val="Comic Sans MS"/>
        <family val="4"/>
      </rPr>
      <t>2</t>
    </r>
    <r>
      <rPr>
        <b/>
        <sz val="7"/>
        <color theme="1"/>
        <rFont val="Comic Sans MS"/>
        <family val="4"/>
      </rPr>
      <t>O)</t>
    </r>
  </si>
  <si>
    <r>
      <rPr>
        <sz val="14"/>
        <color theme="1"/>
        <rFont val="Comic Sans MS"/>
        <family val="4"/>
      </rPr>
      <t>Commercial Sector CH</t>
    </r>
    <r>
      <rPr>
        <vertAlign val="subscript"/>
        <sz val="14"/>
        <color theme="1"/>
        <rFont val="Comic Sans MS"/>
        <family val="4"/>
      </rPr>
      <t>4</t>
    </r>
  </si>
  <si>
    <r>
      <rPr>
        <b/>
        <sz val="7"/>
        <color theme="1"/>
        <rFont val="Comic Sans MS"/>
        <family val="4"/>
      </rPr>
      <t>(MMTCO</t>
    </r>
    <r>
      <rPr>
        <b/>
        <vertAlign val="subscript"/>
        <sz val="7"/>
        <color theme="1"/>
        <rFont val="Comic Sans MS"/>
        <family val="4"/>
      </rPr>
      <t>2</t>
    </r>
    <r>
      <rPr>
        <b/>
        <sz val="7"/>
        <color theme="1"/>
        <rFont val="Comic Sans MS"/>
        <family val="4"/>
      </rPr>
      <t>E)</t>
    </r>
  </si>
  <si>
    <t>Industrial Consumption and CO2 Emissions in Maryland</t>
  </si>
  <si>
    <r>
      <rPr>
        <sz val="14"/>
        <color rgb="FF000000"/>
        <rFont val="Comic Sans MS"/>
        <family val="4"/>
      </rPr>
      <t>Industrial Sector CO</t>
    </r>
    <r>
      <rPr>
        <vertAlign val="subscript"/>
        <sz val="14"/>
        <color rgb="FF000000"/>
        <rFont val="Comic Sans MS"/>
        <family val="4"/>
      </rPr>
      <t>2</t>
    </r>
  </si>
  <si>
    <t xml:space="preserve">Total </t>
  </si>
  <si>
    <t xml:space="preserve">Non-Energy </t>
  </si>
  <si>
    <t xml:space="preserve">Net combustible </t>
  </si>
  <si>
    <t>Commercial Sector 2006 GHG Emission</t>
  </si>
  <si>
    <t>Storage Factor (%)</t>
  </si>
  <si>
    <r>
      <rPr>
        <b/>
        <sz val="10"/>
        <color theme="1"/>
        <rFont val="Arial"/>
        <family val="2"/>
      </rPr>
      <t>CO</t>
    </r>
    <r>
      <rPr>
        <b/>
        <vertAlign val="subscript"/>
        <sz val="10"/>
        <color theme="1"/>
        <rFont val="Arial"/>
        <family val="2"/>
      </rPr>
      <t>2</t>
    </r>
  </si>
  <si>
    <r>
      <rPr>
        <b/>
        <sz val="7"/>
        <color theme="1"/>
        <rFont val="Comic Sans MS"/>
        <family val="4"/>
      </rPr>
      <t>(MMTCO</t>
    </r>
    <r>
      <rPr>
        <b/>
        <vertAlign val="subscript"/>
        <sz val="7"/>
        <color theme="1"/>
        <rFont val="Comic Sans MS"/>
        <family val="4"/>
      </rPr>
      <t>2</t>
    </r>
    <r>
      <rPr>
        <b/>
        <sz val="7"/>
        <color theme="1"/>
        <rFont val="Comic Sans MS"/>
        <family val="4"/>
      </rPr>
      <t>E)</t>
    </r>
  </si>
  <si>
    <r>
      <rPr>
        <b/>
        <sz val="10"/>
        <color theme="1"/>
        <rFont val="Arial"/>
        <family val="2"/>
      </rPr>
      <t>CH</t>
    </r>
    <r>
      <rPr>
        <b/>
        <vertAlign val="subscript"/>
        <sz val="10"/>
        <color theme="1"/>
        <rFont val="Arial"/>
        <family val="2"/>
      </rPr>
      <t>4</t>
    </r>
  </si>
  <si>
    <r>
      <rPr>
        <b/>
        <sz val="10"/>
        <color theme="1"/>
        <rFont val="Arial"/>
        <family val="2"/>
      </rPr>
      <t>N</t>
    </r>
    <r>
      <rPr>
        <b/>
        <vertAlign val="subscript"/>
        <sz val="10"/>
        <color theme="1"/>
        <rFont val="Arial"/>
        <family val="2"/>
      </rPr>
      <t>2</t>
    </r>
    <r>
      <rPr>
        <b/>
        <sz val="10"/>
        <color theme="1"/>
        <rFont val="Arial"/>
        <family val="2"/>
      </rPr>
      <t>O</t>
    </r>
  </si>
  <si>
    <t>GHG</t>
  </si>
  <si>
    <t>Coking Coal</t>
  </si>
  <si>
    <r>
      <rPr>
        <b/>
        <sz val="7"/>
        <color theme="1"/>
        <rFont val="Comic Sans MS"/>
        <family val="4"/>
      </rPr>
      <t>(MMTCO</t>
    </r>
    <r>
      <rPr>
        <b/>
        <vertAlign val="subscript"/>
        <sz val="7"/>
        <color theme="1"/>
        <rFont val="Comic Sans MS"/>
        <family val="4"/>
      </rPr>
      <t>2</t>
    </r>
    <r>
      <rPr>
        <b/>
        <sz val="7"/>
        <color theme="1"/>
        <rFont val="Comic Sans MS"/>
        <family val="4"/>
      </rPr>
      <t>E)</t>
    </r>
  </si>
  <si>
    <r>
      <rPr>
        <b/>
        <sz val="7"/>
        <color theme="1"/>
        <rFont val="Comic Sans MS"/>
        <family val="4"/>
      </rPr>
      <t>(MMTCO</t>
    </r>
    <r>
      <rPr>
        <b/>
        <vertAlign val="subscript"/>
        <sz val="7"/>
        <color theme="1"/>
        <rFont val="Comic Sans MS"/>
        <family val="4"/>
      </rPr>
      <t>2</t>
    </r>
    <r>
      <rPr>
        <b/>
        <sz val="7"/>
        <color theme="1"/>
        <rFont val="Comic Sans MS"/>
        <family val="4"/>
      </rPr>
      <t>E)</t>
    </r>
  </si>
  <si>
    <r>
      <rPr>
        <b/>
        <sz val="7"/>
        <color theme="1"/>
        <rFont val="Comic Sans MS"/>
        <family val="4"/>
      </rPr>
      <t>(MMTCO</t>
    </r>
    <r>
      <rPr>
        <b/>
        <vertAlign val="subscript"/>
        <sz val="7"/>
        <color theme="1"/>
        <rFont val="Comic Sans MS"/>
        <family val="4"/>
      </rPr>
      <t>2</t>
    </r>
    <r>
      <rPr>
        <b/>
        <sz val="7"/>
        <color theme="1"/>
        <rFont val="Comic Sans MS"/>
        <family val="4"/>
      </rPr>
      <t>E)</t>
    </r>
  </si>
  <si>
    <r>
      <rPr>
        <b/>
        <sz val="7"/>
        <color theme="1"/>
        <rFont val="Comic Sans MS"/>
        <family val="4"/>
      </rPr>
      <t>(MMTCO</t>
    </r>
    <r>
      <rPr>
        <b/>
        <vertAlign val="subscript"/>
        <sz val="7"/>
        <color theme="1"/>
        <rFont val="Comic Sans MS"/>
        <family val="4"/>
      </rPr>
      <t>2</t>
    </r>
    <r>
      <rPr>
        <b/>
        <sz val="7"/>
        <color theme="1"/>
        <rFont val="Comic Sans MS"/>
        <family val="4"/>
      </rPr>
      <t>E)</t>
    </r>
  </si>
  <si>
    <t>Other Coal</t>
  </si>
  <si>
    <t>Asphalt and Road Oil</t>
  </si>
  <si>
    <t>Aviation Gasoline Blending Components</t>
  </si>
  <si>
    <t>Crude Oil</t>
  </si>
  <si>
    <t>Feedstocks, Naphtha less than 401 F</t>
  </si>
  <si>
    <t>Feedstocks, Other Oils greater than 401 F</t>
  </si>
  <si>
    <t>Lubricants</t>
  </si>
  <si>
    <t>Transportation Consumption and GHG Emissions</t>
  </si>
  <si>
    <t>Motor Gasoline Blending Components</t>
  </si>
  <si>
    <t>Misc. Petro Products</t>
  </si>
  <si>
    <t>Activity Data (Consumption)</t>
  </si>
  <si>
    <t xml:space="preserve"> State Energy Data  2006</t>
  </si>
  <si>
    <t>(Barrels)</t>
  </si>
  <si>
    <t>Petroleum Coke</t>
  </si>
  <si>
    <t>(Gallons)</t>
  </si>
  <si>
    <t xml:space="preserve">Aviation Gasoline </t>
  </si>
  <si>
    <t>Pentanes Plus</t>
  </si>
  <si>
    <t xml:space="preserve">Distillate Fuel  Oil </t>
  </si>
  <si>
    <t xml:space="preserve">Jet Fuel Naphtha </t>
  </si>
  <si>
    <t>Still Gas</t>
  </si>
  <si>
    <t xml:space="preserve">Jet Fuel Kerosene Type </t>
  </si>
  <si>
    <t>Liquidfied Petroleum Gases</t>
  </si>
  <si>
    <t>Special Naphthas</t>
  </si>
  <si>
    <t xml:space="preserve">Lubricant </t>
  </si>
  <si>
    <t>Unfinished Oils</t>
  </si>
  <si>
    <t>Waxes</t>
  </si>
  <si>
    <t>Ethanol</t>
  </si>
  <si>
    <t>Natural Gases -  (Million Cubic Feet)</t>
  </si>
  <si>
    <t>Residual Fuel Oil</t>
  </si>
  <si>
    <t xml:space="preserve">                                                     Gasoline Fuel Usage</t>
  </si>
  <si>
    <t>Source</t>
  </si>
  <si>
    <t>Year</t>
  </si>
  <si>
    <t>Subsource</t>
  </si>
  <si>
    <t>Vehicle / Fuel Type</t>
  </si>
  <si>
    <t>Amount
(gal)</t>
  </si>
  <si>
    <t>Emissions from Natural Gas Activities in MD</t>
  </si>
  <si>
    <t>Percentage</t>
  </si>
  <si>
    <t>Percentage of NR Gasoline</t>
  </si>
  <si>
    <r>
      <rPr>
        <sz val="14"/>
        <color theme="1"/>
        <rFont val="Comic Sans MS"/>
        <family val="4"/>
      </rPr>
      <t>Industrial Sector N</t>
    </r>
    <r>
      <rPr>
        <vertAlign val="subscript"/>
        <sz val="14"/>
        <color theme="1"/>
        <rFont val="Comic Sans MS"/>
        <family val="4"/>
      </rPr>
      <t>2</t>
    </r>
    <r>
      <rPr>
        <sz val="14"/>
        <color theme="1"/>
        <rFont val="Comic Sans MS"/>
        <family val="4"/>
      </rPr>
      <t>O</t>
    </r>
  </si>
  <si>
    <t>FHWA Data MF-24</t>
  </si>
  <si>
    <t>Farm Equipment</t>
  </si>
  <si>
    <t>Natural Gas - Production</t>
  </si>
  <si>
    <t>Gasoline Tractor</t>
  </si>
  <si>
    <r>
      <rPr>
        <b/>
        <sz val="7"/>
        <color theme="1"/>
        <rFont val="Comic Sans MS"/>
        <family val="4"/>
      </rPr>
      <t>(metric tons N</t>
    </r>
    <r>
      <rPr>
        <b/>
        <vertAlign val="subscript"/>
        <sz val="7"/>
        <color theme="1"/>
        <rFont val="Comic Sans MS"/>
        <family val="4"/>
      </rPr>
      <t>2</t>
    </r>
    <r>
      <rPr>
        <b/>
        <sz val="7"/>
        <color theme="1"/>
        <rFont val="Comic Sans MS"/>
        <family val="4"/>
      </rPr>
      <t>O/BBtu)</t>
    </r>
  </si>
  <si>
    <t>Activity Data</t>
  </si>
  <si>
    <r>
      <rPr>
        <b/>
        <sz val="7"/>
        <color theme="1"/>
        <rFont val="Comic Sans MS"/>
        <family val="4"/>
      </rPr>
      <t>(metric tons N</t>
    </r>
    <r>
      <rPr>
        <b/>
        <vertAlign val="subscript"/>
        <sz val="7"/>
        <color theme="1"/>
        <rFont val="Comic Sans MS"/>
        <family val="4"/>
      </rPr>
      <t>2</t>
    </r>
    <r>
      <rPr>
        <b/>
        <sz val="7"/>
        <color theme="1"/>
        <rFont val="Comic Sans MS"/>
        <family val="4"/>
      </rPr>
      <t>O)</t>
    </r>
  </si>
  <si>
    <r>
      <rPr>
        <b/>
        <sz val="7"/>
        <color theme="1"/>
        <rFont val="Comic Sans MS"/>
        <family val="4"/>
      </rPr>
      <t>(MMTCO</t>
    </r>
    <r>
      <rPr>
        <b/>
        <vertAlign val="subscript"/>
        <sz val="7"/>
        <color theme="1"/>
        <rFont val="Comic Sans MS"/>
        <family val="4"/>
      </rPr>
      <t>2</t>
    </r>
    <r>
      <rPr>
        <b/>
        <sz val="7"/>
        <color theme="1"/>
        <rFont val="Comic Sans MS"/>
        <family val="4"/>
      </rPr>
      <t>E)</t>
    </r>
  </si>
  <si>
    <r>
      <rPr>
        <b/>
        <sz val="8"/>
        <color theme="1"/>
        <rFont val="Comic Sans MS"/>
        <family val="4"/>
      </rPr>
      <t>Metric Tons CH</t>
    </r>
    <r>
      <rPr>
        <b/>
        <vertAlign val="subscript"/>
        <sz val="8"/>
        <color theme="1"/>
        <rFont val="Comic Sans MS"/>
        <family val="4"/>
      </rPr>
      <t>4</t>
    </r>
  </si>
  <si>
    <r>
      <rPr>
        <b/>
        <sz val="8"/>
        <color theme="1"/>
        <rFont val="Comic Sans MS"/>
        <family val="4"/>
      </rPr>
      <t>MMTCO</t>
    </r>
    <r>
      <rPr>
        <b/>
        <vertAlign val="subscript"/>
        <sz val="8"/>
        <color theme="1"/>
        <rFont val="Comic Sans MS"/>
        <family val="4"/>
      </rPr>
      <t>2</t>
    </r>
    <r>
      <rPr>
        <b/>
        <sz val="8"/>
        <color theme="1"/>
        <rFont val="Comic Sans MS"/>
        <family val="4"/>
      </rPr>
      <t>E</t>
    </r>
  </si>
  <si>
    <r>
      <rPr>
        <sz val="8"/>
        <color theme="1"/>
        <rFont val="Comic Sans MS"/>
        <family val="4"/>
      </rPr>
      <t>metric tons CH</t>
    </r>
    <r>
      <rPr>
        <vertAlign val="subscript"/>
        <sz val="8"/>
        <color theme="1"/>
        <rFont val="Comic Sans MS"/>
        <family val="4"/>
      </rPr>
      <t>4</t>
    </r>
    <r>
      <rPr>
        <sz val="8"/>
        <color theme="1"/>
        <rFont val="Comic Sans MS"/>
        <family val="4"/>
      </rPr>
      <t xml:space="preserve"> per year per activity unit</t>
    </r>
  </si>
  <si>
    <t>Total number of wells</t>
  </si>
  <si>
    <t>Construction</t>
  </si>
  <si>
    <t>Gasoline Construction</t>
  </si>
  <si>
    <t>Number of off-shore platforms not in the Gulf of Mexico</t>
  </si>
  <si>
    <t>Non-Highway Industrial</t>
  </si>
  <si>
    <t xml:space="preserve">Total  </t>
  </si>
  <si>
    <t>Gasoline HD Utility</t>
  </si>
  <si>
    <t>Gasoline Small Utility</t>
  </si>
  <si>
    <t>Number of Wells from EIA, " Natural Gas Navigator- Maryland Natural Gas Number of Gas and Gas Condensate Wells" acccessed from: http://tonto.eia.doe.gov/dnav/ng/hist/na1170_smd_8a.htm</t>
  </si>
  <si>
    <r>
      <rPr>
        <sz val="8"/>
        <color theme="1"/>
        <rFont val="Arial"/>
        <family val="2"/>
      </rPr>
      <t>Emission factor from US EP</t>
    </r>
    <r>
      <rPr>
        <sz val="10"/>
        <color theme="1"/>
        <rFont val="Arial"/>
        <family val="2"/>
      </rPr>
      <t>A, Emissions Inventory Improvements Program,</t>
    </r>
    <r>
      <rPr>
        <i/>
        <sz val="10"/>
        <color theme="1"/>
        <rFont val="Arial"/>
        <family val="2"/>
      </rPr>
      <t xml:space="preserve"> Volume VII: Chpater 5. Methods for Estimating Methane Emissions from Natural Gas and Oil Systems. </t>
    </r>
    <r>
      <rPr>
        <sz val="10"/>
        <color theme="1"/>
        <rFont val="Arial"/>
        <family val="2"/>
      </rPr>
      <t>This factor represents emissions not just from wells but also from pneumatic devices, dehydrator vents, Kimray pumps, gas engines, and well clean-ups</t>
    </r>
  </si>
  <si>
    <t>Boat (Marine Gasoline)</t>
  </si>
  <si>
    <t>Gasoline</t>
  </si>
  <si>
    <t>Natural Gas - Distribution</t>
  </si>
  <si>
    <r>
      <rPr>
        <b/>
        <sz val="7"/>
        <color theme="1"/>
        <rFont val="Comic Sans MS"/>
        <family val="4"/>
      </rPr>
      <t>Metric Tons CH</t>
    </r>
    <r>
      <rPr>
        <b/>
        <vertAlign val="subscript"/>
        <sz val="7"/>
        <color theme="1"/>
        <rFont val="Comic Sans MS"/>
        <family val="4"/>
      </rPr>
      <t>4</t>
    </r>
  </si>
  <si>
    <r>
      <rPr>
        <b/>
        <sz val="7"/>
        <color theme="1"/>
        <rFont val="Comic Sans MS"/>
        <family val="4"/>
      </rPr>
      <t>MMTCO</t>
    </r>
    <r>
      <rPr>
        <b/>
        <vertAlign val="subscript"/>
        <sz val="7"/>
        <color theme="1"/>
        <rFont val="Comic Sans MS"/>
        <family val="4"/>
      </rPr>
      <t>2</t>
    </r>
    <r>
      <rPr>
        <b/>
        <sz val="7"/>
        <color theme="1"/>
        <rFont val="Comic Sans MS"/>
        <family val="4"/>
      </rPr>
      <t>E</t>
    </r>
  </si>
  <si>
    <t>MD Comptroller</t>
  </si>
  <si>
    <t>Motor Gasoline (Total Sold)</t>
  </si>
  <si>
    <t>Distribution pipeline</t>
  </si>
  <si>
    <t>All</t>
  </si>
  <si>
    <r>
      <rPr>
        <sz val="7"/>
        <color theme="1"/>
        <rFont val="Comic Sans MS"/>
        <family val="4"/>
      </rPr>
      <t>(metric tons CH</t>
    </r>
    <r>
      <rPr>
        <vertAlign val="subscript"/>
        <sz val="7"/>
        <color theme="1"/>
        <rFont val="Comic Sans MS"/>
        <family val="4"/>
      </rPr>
      <t>4</t>
    </r>
    <r>
      <rPr>
        <sz val="7"/>
        <color theme="1"/>
        <rFont val="Comic Sans MS"/>
        <family val="4"/>
      </rPr>
      <t xml:space="preserve"> per year per activity unit)</t>
    </r>
  </si>
  <si>
    <t>Motor Gasoline (On-Road Mobile)</t>
  </si>
  <si>
    <t>Miles of cast iron distribution pipeline</t>
  </si>
  <si>
    <t>Motor Gasoline (Non-Road Mobile)</t>
  </si>
  <si>
    <t>Miles of unprotected steel distribution pipeline</t>
  </si>
  <si>
    <t>Miles of protected steel distribution pipeline</t>
  </si>
  <si>
    <t>Miles of plastic distribution pipeline</t>
  </si>
  <si>
    <t>Services</t>
  </si>
  <si>
    <t>Total number of services</t>
  </si>
  <si>
    <t xml:space="preserve">                                           Diesel Fuel Usage</t>
  </si>
  <si>
    <t>Number of unprotected steel services</t>
  </si>
  <si>
    <t>Number of protected steel services</t>
  </si>
  <si>
    <t>Percentage of NR Diesel</t>
  </si>
  <si>
    <t>EIA Adjusted Sales Data</t>
  </si>
  <si>
    <t>Miles of Distribution pipeline from US Department of Transport, Office of Pipeline Safety, "  Distribution and Transmission Annuals data:1990 -2005" . Acess from http://www.phmsa.dot.gov/portal/</t>
  </si>
  <si>
    <t>NA</t>
  </si>
  <si>
    <t>Diesel Tractor</t>
  </si>
  <si>
    <r>
      <rPr>
        <sz val="8"/>
        <color theme="1"/>
        <rFont val="Arial"/>
        <family val="2"/>
      </rPr>
      <t>All emission factors from US EP</t>
    </r>
    <r>
      <rPr>
        <sz val="10"/>
        <color theme="1"/>
        <rFont val="Arial"/>
        <family val="2"/>
      </rPr>
      <t>A, Emissions Inventory Improvements Program,</t>
    </r>
    <r>
      <rPr>
        <i/>
        <sz val="10"/>
        <color theme="1"/>
        <rFont val="Arial"/>
        <family val="2"/>
      </rPr>
      <t xml:space="preserve"> Volume VII: Chapter 5. Methods for Estimating Methane Emissions from Natural Gas and Oil Systems. </t>
    </r>
  </si>
  <si>
    <t>Natural Gas - Transmission</t>
  </si>
  <si>
    <t>FHWA Data MF-24 (Allocated from Gasoline Construction State Percent)</t>
  </si>
  <si>
    <t>Emissions from Mining in MD</t>
  </si>
  <si>
    <t>Diesel Construction</t>
  </si>
  <si>
    <r>
      <rPr>
        <b/>
        <sz val="8"/>
        <color theme="1"/>
        <rFont val="Comic Sans MS"/>
        <family val="4"/>
      </rPr>
      <t>Metric Tons CH</t>
    </r>
    <r>
      <rPr>
        <b/>
        <vertAlign val="subscript"/>
        <sz val="8"/>
        <color theme="1"/>
        <rFont val="Comic Sans MS"/>
        <family val="4"/>
      </rPr>
      <t>4</t>
    </r>
  </si>
  <si>
    <r>
      <rPr>
        <b/>
        <sz val="8"/>
        <color theme="1"/>
        <rFont val="Comic Sans MS"/>
        <family val="4"/>
      </rPr>
      <t>MMTCO</t>
    </r>
    <r>
      <rPr>
        <b/>
        <vertAlign val="subscript"/>
        <sz val="8"/>
        <color theme="1"/>
        <rFont val="Comic Sans MS"/>
        <family val="4"/>
      </rPr>
      <t>2</t>
    </r>
    <r>
      <rPr>
        <b/>
        <sz val="8"/>
        <color theme="1"/>
        <rFont val="Comic Sans MS"/>
        <family val="4"/>
      </rPr>
      <t>E</t>
    </r>
  </si>
  <si>
    <r>
      <rPr>
        <sz val="8"/>
        <color theme="1"/>
        <rFont val="Comic Sans MS"/>
        <family val="4"/>
      </rPr>
      <t>metric tons CH</t>
    </r>
    <r>
      <rPr>
        <vertAlign val="subscript"/>
        <sz val="8"/>
        <color theme="1"/>
        <rFont val="Comic Sans MS"/>
        <family val="4"/>
      </rPr>
      <t>4</t>
    </r>
    <r>
      <rPr>
        <sz val="8"/>
        <color theme="1"/>
        <rFont val="Comic Sans MS"/>
        <family val="4"/>
      </rPr>
      <t xml:space="preserve"> per year per activity unit</t>
    </r>
  </si>
  <si>
    <t>CH4 from Coal Mining in MD</t>
  </si>
  <si>
    <t>EIA State Energy Data</t>
  </si>
  <si>
    <t>Emissions from:</t>
  </si>
  <si>
    <t>Miles of transmission pipeline</t>
  </si>
  <si>
    <t>Coal Basin(s)                            (if applicable)</t>
  </si>
  <si>
    <r>
      <rPr>
        <sz val="14"/>
        <color rgb="FF000000"/>
        <rFont val="Comic Sans MS"/>
        <family val="4"/>
      </rPr>
      <t>Industrial Sector CH</t>
    </r>
    <r>
      <rPr>
        <vertAlign val="subscript"/>
        <sz val="14"/>
        <color rgb="FF000000"/>
        <rFont val="Comic Sans MS"/>
        <family val="4"/>
      </rPr>
      <t>4</t>
    </r>
  </si>
  <si>
    <t>Measured Ventilation Emissions
(mcf)</t>
  </si>
  <si>
    <t>Diesel HD Utility</t>
  </si>
  <si>
    <t>Degasification System Emissions
(mcf)</t>
  </si>
  <si>
    <t>Methane Recovered from Degasification Systems and Usef for Energy
(mcf)</t>
  </si>
  <si>
    <r>
      <rPr>
        <b/>
        <sz val="7"/>
        <color theme="1"/>
        <rFont val="Calibri"/>
        <family val="2"/>
      </rPr>
      <t>Emissions
(mcf CH</t>
    </r>
    <r>
      <rPr>
        <b/>
        <vertAlign val="subscript"/>
        <sz val="7"/>
        <color theme="1"/>
        <rFont val="Calibri"/>
        <family val="2"/>
      </rPr>
      <t>4</t>
    </r>
    <r>
      <rPr>
        <b/>
        <sz val="7"/>
        <color theme="1"/>
        <rFont val="Calibri"/>
        <family val="2"/>
      </rPr>
      <t>)</t>
    </r>
  </si>
  <si>
    <r>
      <rPr>
        <b/>
        <sz val="7"/>
        <color theme="1"/>
        <rFont val="Calibri"/>
        <family val="2"/>
      </rPr>
      <t>Emissions
(MTCH</t>
    </r>
    <r>
      <rPr>
        <b/>
        <vertAlign val="subscript"/>
        <sz val="7"/>
        <color theme="1"/>
        <rFont val="Calibri"/>
        <family val="2"/>
      </rPr>
      <t>4</t>
    </r>
    <r>
      <rPr>
        <b/>
        <sz val="7"/>
        <color theme="1"/>
        <rFont val="Calibri"/>
        <family val="2"/>
      </rPr>
      <t>)</t>
    </r>
  </si>
  <si>
    <r>
      <rPr>
        <b/>
        <sz val="7"/>
        <color theme="1"/>
        <rFont val="Calibri"/>
        <family val="2"/>
      </rPr>
      <t>Emissions
(MTCO</t>
    </r>
    <r>
      <rPr>
        <b/>
        <vertAlign val="subscript"/>
        <sz val="7"/>
        <color theme="1"/>
        <rFont val="Calibri"/>
        <family val="2"/>
      </rPr>
      <t>2</t>
    </r>
    <r>
      <rPr>
        <b/>
        <sz val="7"/>
        <color theme="1"/>
        <rFont val="Calibri"/>
        <family val="2"/>
      </rPr>
      <t>E)</t>
    </r>
  </si>
  <si>
    <t>Mines</t>
  </si>
  <si>
    <t>Number of gas transmission compressor stations</t>
  </si>
  <si>
    <t>MDE Survey</t>
  </si>
  <si>
    <t>Locomotive</t>
  </si>
  <si>
    <t>Diesel Fuel</t>
  </si>
  <si>
    <t>Underground Mines</t>
  </si>
  <si>
    <t>+</t>
  </si>
  <si>
    <t>-</t>
  </si>
  <si>
    <t>Number of gas storage compressor stations</t>
  </si>
  <si>
    <t>=</t>
  </si>
  <si>
    <t>Boat (Marine)</t>
  </si>
  <si>
    <t>Distillate Fuel Oil**</t>
  </si>
  <si>
    <t xml:space="preserve">Number of LNG storage compressor stations from EIA, US LNG Markets and Uses, http://www.eia.doe.gov/pub/oil_gas/natural_gas/feature_articles/2003/lng/lng2003.pdf </t>
  </si>
  <si>
    <t>Miles of transmission pipeline from US Department of Transport, Office of Pipeline Safety, "  Distribution and Transmission Annuals data:1990 -2005" . Acess from http://www.phmsa.dot.gov/portal/</t>
  </si>
  <si>
    <t>Number of gas transmission compressor stations = miles of transmission pipeline x 0.006 -EIIP, Volume VII: Chapter 5,March 2005</t>
  </si>
  <si>
    <t>Surface Coal Production
('000 short tons)</t>
  </si>
  <si>
    <t>Number of gas storage compressor station  = miles of transmission pipeline x 0.0015 -EIIP, Volume VII: Chapter 5,March 2005</t>
  </si>
  <si>
    <r>
      <rPr>
        <b/>
        <sz val="7"/>
        <color theme="1"/>
        <rFont val="Calibri"/>
        <family val="2"/>
      </rPr>
      <t>Basin-specific EF
(ft</t>
    </r>
    <r>
      <rPr>
        <b/>
        <vertAlign val="superscript"/>
        <sz val="7"/>
        <color theme="1"/>
        <rFont val="Calibri"/>
        <family val="2"/>
      </rPr>
      <t>3</t>
    </r>
    <r>
      <rPr>
        <b/>
        <sz val="7"/>
        <color theme="1"/>
        <rFont val="Calibri"/>
        <family val="2"/>
      </rPr>
      <t>/short ton)</t>
    </r>
  </si>
  <si>
    <r>
      <rPr>
        <sz val="8"/>
        <color theme="1"/>
        <rFont val="Arial"/>
        <family val="2"/>
      </rPr>
      <t>All emission factors from US EP</t>
    </r>
    <r>
      <rPr>
        <sz val="10"/>
        <color theme="1"/>
        <rFont val="Arial"/>
        <family val="2"/>
      </rPr>
      <t>A, Emissions Inventory Improvements Program,</t>
    </r>
    <r>
      <rPr>
        <i/>
        <sz val="10"/>
        <color theme="1"/>
        <rFont val="Arial"/>
        <family val="2"/>
      </rPr>
      <t xml:space="preserve"> Volume VII: Chapter 5. Methods for Estimating Methane Emissions from Natural Gas and Oil Systems. </t>
    </r>
  </si>
  <si>
    <r>
      <rPr>
        <b/>
        <sz val="7"/>
        <color theme="1"/>
        <rFont val="Calibri"/>
        <family val="2"/>
      </rPr>
      <t>Emissions
('000 ft</t>
    </r>
    <r>
      <rPr>
        <b/>
        <vertAlign val="superscript"/>
        <sz val="7"/>
        <color theme="1"/>
        <rFont val="Calibri"/>
        <family val="2"/>
      </rPr>
      <t>3</t>
    </r>
    <r>
      <rPr>
        <b/>
        <sz val="7"/>
        <color theme="1"/>
        <rFont val="Calibri"/>
        <family val="2"/>
      </rPr>
      <t xml:space="preserve"> CH</t>
    </r>
    <r>
      <rPr>
        <b/>
        <vertAlign val="subscript"/>
        <sz val="7"/>
        <color theme="1"/>
        <rFont val="Calibri"/>
        <family val="2"/>
      </rPr>
      <t>4</t>
    </r>
    <r>
      <rPr>
        <b/>
        <sz val="7"/>
        <color theme="1"/>
        <rFont val="Calibri"/>
        <family val="2"/>
      </rPr>
      <t>)</t>
    </r>
  </si>
  <si>
    <r>
      <rPr>
        <b/>
        <sz val="7"/>
        <color theme="1"/>
        <rFont val="Calibri"/>
        <family val="2"/>
      </rPr>
      <t>Emissions
(MTCH</t>
    </r>
    <r>
      <rPr>
        <b/>
        <vertAlign val="subscript"/>
        <sz val="7"/>
        <color theme="1"/>
        <rFont val="Calibri"/>
        <family val="2"/>
      </rPr>
      <t>4</t>
    </r>
    <r>
      <rPr>
        <b/>
        <sz val="7"/>
        <color theme="1"/>
        <rFont val="Calibri"/>
        <family val="2"/>
      </rPr>
      <t>)</t>
    </r>
  </si>
  <si>
    <r>
      <rPr>
        <b/>
        <sz val="7"/>
        <color theme="1"/>
        <rFont val="Calibri"/>
        <family val="2"/>
      </rPr>
      <t>Emissions
(MTCO</t>
    </r>
    <r>
      <rPr>
        <b/>
        <vertAlign val="subscript"/>
        <sz val="7"/>
        <color theme="1"/>
        <rFont val="Calibri"/>
        <family val="2"/>
      </rPr>
      <t>2</t>
    </r>
    <r>
      <rPr>
        <b/>
        <sz val="7"/>
        <color theme="1"/>
        <rFont val="Calibri"/>
        <family val="2"/>
      </rPr>
      <t>E)</t>
    </r>
  </si>
  <si>
    <t>Surface Mines</t>
  </si>
  <si>
    <t>Northern Appalachian Basin</t>
  </si>
  <si>
    <t>x</t>
  </si>
  <si>
    <t>Distillate Fuel  Oil</t>
  </si>
  <si>
    <t>Natural Gas - Consumption as Pipeline Fuel</t>
  </si>
  <si>
    <t xml:space="preserve">                         Emission Factors:</t>
  </si>
  <si>
    <t xml:space="preserve"> Combustion</t>
  </si>
  <si>
    <t>---</t>
  </si>
  <si>
    <r>
      <rPr>
        <b/>
        <sz val="10"/>
        <color theme="1"/>
        <rFont val="Arial"/>
        <family val="2"/>
      </rPr>
      <t>CO</t>
    </r>
    <r>
      <rPr>
        <b/>
        <vertAlign val="subscript"/>
        <sz val="10"/>
        <color theme="1"/>
        <rFont val="Arial"/>
        <family val="2"/>
      </rPr>
      <t>2</t>
    </r>
    <r>
      <rPr>
        <b/>
        <sz val="10"/>
        <color theme="1"/>
        <rFont val="Arial"/>
        <family val="2"/>
      </rPr>
      <t xml:space="preserve"> Emissions</t>
    </r>
  </si>
  <si>
    <t>Calculated</t>
  </si>
  <si>
    <r>
      <rPr>
        <b/>
        <sz val="10"/>
        <color theme="1"/>
        <rFont val="Arial"/>
        <family val="2"/>
      </rPr>
      <t>N</t>
    </r>
    <r>
      <rPr>
        <b/>
        <vertAlign val="subscript"/>
        <sz val="10"/>
        <color theme="1"/>
        <rFont val="Arial"/>
        <family val="2"/>
      </rPr>
      <t>2</t>
    </r>
    <r>
      <rPr>
        <b/>
        <sz val="10"/>
        <color theme="1"/>
        <rFont val="Arial"/>
        <family val="2"/>
      </rPr>
      <t>O Emissions</t>
    </r>
  </si>
  <si>
    <r>
      <rPr>
        <b/>
        <sz val="10"/>
        <color theme="1"/>
        <rFont val="Arial"/>
        <family val="2"/>
      </rPr>
      <t>CH</t>
    </r>
    <r>
      <rPr>
        <b/>
        <vertAlign val="subscript"/>
        <sz val="10"/>
        <color theme="1"/>
        <rFont val="Arial"/>
        <family val="2"/>
      </rPr>
      <t>4</t>
    </r>
    <r>
      <rPr>
        <b/>
        <sz val="10"/>
        <color theme="1"/>
        <rFont val="Arial"/>
        <family val="2"/>
      </rPr>
      <t xml:space="preserve"> Emissions</t>
    </r>
  </si>
  <si>
    <t>GHG Emissions</t>
  </si>
  <si>
    <t>NG Consumption</t>
  </si>
  <si>
    <t>Motor Diesel (On-Road)</t>
  </si>
  <si>
    <t>(Billion Btus)</t>
  </si>
  <si>
    <t>Carbon</t>
  </si>
  <si>
    <r>
      <rPr>
        <b/>
        <sz val="10"/>
        <color theme="1"/>
        <rFont val="Arial"/>
        <family val="2"/>
      </rPr>
      <t>N</t>
    </r>
    <r>
      <rPr>
        <b/>
        <vertAlign val="subscript"/>
        <sz val="10"/>
        <color theme="1"/>
        <rFont val="Arial"/>
        <family val="2"/>
      </rPr>
      <t>2</t>
    </r>
    <r>
      <rPr>
        <b/>
        <sz val="10"/>
        <color theme="1"/>
        <rFont val="Arial"/>
        <family val="2"/>
      </rPr>
      <t>O</t>
    </r>
  </si>
  <si>
    <r>
      <rPr>
        <b/>
        <sz val="10"/>
        <color theme="1"/>
        <rFont val="Arial"/>
        <family val="2"/>
      </rPr>
      <t>CH</t>
    </r>
    <r>
      <rPr>
        <b/>
        <vertAlign val="subscript"/>
        <sz val="10"/>
        <color theme="1"/>
        <rFont val="Arial"/>
        <family val="2"/>
      </rPr>
      <t>4</t>
    </r>
  </si>
  <si>
    <r>
      <rPr>
        <b/>
        <sz val="10"/>
        <color theme="1"/>
        <rFont val="Arial"/>
        <family val="2"/>
      </rPr>
      <t>(MMTCO</t>
    </r>
    <r>
      <rPr>
        <b/>
        <vertAlign val="subscript"/>
        <sz val="10"/>
        <color theme="1"/>
        <rFont val="Arial"/>
        <family val="2"/>
      </rPr>
      <t>2</t>
    </r>
    <r>
      <rPr>
        <b/>
        <sz val="10"/>
        <color theme="1"/>
        <rFont val="Arial"/>
        <family val="2"/>
      </rPr>
      <t>E)</t>
    </r>
  </si>
  <si>
    <r>
      <rPr>
        <b/>
        <sz val="10"/>
        <color theme="1"/>
        <rFont val="Arial"/>
        <family val="2"/>
      </rPr>
      <t>(MMTCO</t>
    </r>
    <r>
      <rPr>
        <b/>
        <vertAlign val="subscript"/>
        <sz val="10"/>
        <color theme="1"/>
        <rFont val="Arial"/>
        <family val="2"/>
      </rPr>
      <t>2</t>
    </r>
    <r>
      <rPr>
        <b/>
        <sz val="10"/>
        <color theme="1"/>
        <rFont val="Arial"/>
        <family val="2"/>
      </rPr>
      <t>E)</t>
    </r>
  </si>
  <si>
    <r>
      <rPr>
        <b/>
        <sz val="10"/>
        <color theme="1"/>
        <rFont val="Arial"/>
        <family val="2"/>
      </rPr>
      <t>(MMTCO</t>
    </r>
    <r>
      <rPr>
        <b/>
        <vertAlign val="subscript"/>
        <sz val="10"/>
        <color theme="1"/>
        <rFont val="Arial"/>
        <family val="2"/>
      </rPr>
      <t>2</t>
    </r>
    <r>
      <rPr>
        <b/>
        <sz val="10"/>
        <color theme="1"/>
        <rFont val="Arial"/>
        <family val="2"/>
      </rPr>
      <t>E)</t>
    </r>
  </si>
  <si>
    <t>Post-Mining Activity</t>
  </si>
  <si>
    <t>Coal Production
('000 short tons)</t>
  </si>
  <si>
    <r>
      <rPr>
        <b/>
        <sz val="7"/>
        <color theme="1"/>
        <rFont val="Calibri"/>
        <family val="2"/>
      </rPr>
      <t>Basin- &amp; Mine-specific EF
(ft</t>
    </r>
    <r>
      <rPr>
        <b/>
        <vertAlign val="superscript"/>
        <sz val="7"/>
        <color theme="1"/>
        <rFont val="Calibri"/>
        <family val="2"/>
      </rPr>
      <t>3</t>
    </r>
    <r>
      <rPr>
        <b/>
        <sz val="7"/>
        <color theme="1"/>
        <rFont val="Calibri"/>
        <family val="2"/>
      </rPr>
      <t>/short ton)</t>
    </r>
  </si>
  <si>
    <t>Motor Diesel (Non-Road)</t>
  </si>
  <si>
    <t>(lbs/MMBtu)</t>
  </si>
  <si>
    <t>(Mt/BBtu)</t>
  </si>
  <si>
    <t>NGPZB (Billion Btus)</t>
  </si>
  <si>
    <r>
      <rPr>
        <b/>
        <sz val="7"/>
        <color theme="1"/>
        <rFont val="Calibri"/>
        <family val="2"/>
      </rPr>
      <t>Emissions
('000 ft</t>
    </r>
    <r>
      <rPr>
        <b/>
        <vertAlign val="superscript"/>
        <sz val="7"/>
        <color theme="1"/>
        <rFont val="Calibri"/>
        <family val="2"/>
      </rPr>
      <t>3</t>
    </r>
    <r>
      <rPr>
        <b/>
        <sz val="7"/>
        <color theme="1"/>
        <rFont val="Calibri"/>
        <family val="2"/>
      </rPr>
      <t xml:space="preserve"> CH</t>
    </r>
    <r>
      <rPr>
        <b/>
        <vertAlign val="subscript"/>
        <sz val="7"/>
        <color theme="1"/>
        <rFont val="Calibri"/>
        <family val="2"/>
      </rPr>
      <t>4</t>
    </r>
    <r>
      <rPr>
        <b/>
        <sz val="7"/>
        <color theme="1"/>
        <rFont val="Calibri"/>
        <family val="2"/>
      </rPr>
      <t>)</t>
    </r>
  </si>
  <si>
    <r>
      <rPr>
        <b/>
        <sz val="7"/>
        <color theme="1"/>
        <rFont val="Calibri"/>
        <family val="2"/>
      </rPr>
      <t>Emissions
(MTCH</t>
    </r>
    <r>
      <rPr>
        <b/>
        <vertAlign val="subscript"/>
        <sz val="7"/>
        <color theme="1"/>
        <rFont val="Calibri"/>
        <family val="2"/>
      </rPr>
      <t>4</t>
    </r>
    <r>
      <rPr>
        <b/>
        <sz val="7"/>
        <color theme="1"/>
        <rFont val="Calibri"/>
        <family val="2"/>
      </rPr>
      <t>)</t>
    </r>
  </si>
  <si>
    <r>
      <rPr>
        <b/>
        <sz val="7"/>
        <color theme="1"/>
        <rFont val="Calibri"/>
        <family val="2"/>
      </rPr>
      <t>Emissions
(MTCO</t>
    </r>
    <r>
      <rPr>
        <b/>
        <vertAlign val="subscript"/>
        <sz val="7"/>
        <color theme="1"/>
        <rFont val="Calibri"/>
        <family val="2"/>
      </rPr>
      <t>2</t>
    </r>
    <r>
      <rPr>
        <b/>
        <sz val="7"/>
        <color theme="1"/>
        <rFont val="Calibri"/>
        <family val="2"/>
      </rPr>
      <t>E)</t>
    </r>
  </si>
  <si>
    <t>Diesel (gallons)</t>
  </si>
  <si>
    <t>NGPZB (Million Btus)</t>
  </si>
  <si>
    <t>Residual Fuel Oil**</t>
  </si>
  <si>
    <t xml:space="preserve">Natural Gas as Pipeline Fuel Activity Data (Billion Btu)  was obtained from: http://www.eia.doe.gov/states/sep_fuel/html/csv/fuel_adjust_consum.csv </t>
  </si>
  <si>
    <t>Residual Fuel (gallons)</t>
  </si>
  <si>
    <r>
      <rPr>
        <b/>
        <sz val="8"/>
        <color theme="1"/>
        <rFont val="Comic Sans MS"/>
        <family val="4"/>
      </rPr>
      <t>Emissions by Gas (MMTCO</t>
    </r>
    <r>
      <rPr>
        <b/>
        <vertAlign val="subscript"/>
        <sz val="8"/>
        <color theme="1"/>
        <rFont val="Comic Sans MS"/>
        <family val="4"/>
      </rPr>
      <t>2</t>
    </r>
    <r>
      <rPr>
        <b/>
        <sz val="8"/>
        <color theme="1"/>
        <rFont val="Comic Sans MS"/>
        <family val="4"/>
      </rPr>
      <t>e)</t>
    </r>
  </si>
  <si>
    <t>Production</t>
  </si>
  <si>
    <t>CONSTANTS</t>
  </si>
  <si>
    <t>Transmission</t>
  </si>
  <si>
    <t>Distribution</t>
  </si>
  <si>
    <t>Post-Mining Total</t>
  </si>
  <si>
    <t>Pipeline Fuel</t>
  </si>
  <si>
    <t>Btu/Gallon</t>
  </si>
  <si>
    <t>Diesel</t>
  </si>
  <si>
    <t>Emissions Data (MMTCO2e)</t>
  </si>
  <si>
    <t>Total Coal Mining</t>
  </si>
  <si>
    <r>
      <rPr>
        <b/>
        <sz val="7"/>
        <color theme="1"/>
        <rFont val="Calibri"/>
        <family val="2"/>
      </rPr>
      <t>(MTCO</t>
    </r>
    <r>
      <rPr>
        <b/>
        <vertAlign val="subscript"/>
        <sz val="7"/>
        <color theme="1"/>
        <rFont val="Calibri"/>
        <family val="2"/>
      </rPr>
      <t>2</t>
    </r>
    <r>
      <rPr>
        <b/>
        <sz val="7"/>
        <color theme="1"/>
        <rFont val="Calibri"/>
        <family val="2"/>
      </rPr>
      <t>E)</t>
    </r>
  </si>
  <si>
    <t>Transportation Sector Emissions: Non-Road Mobile Sources  2006</t>
  </si>
  <si>
    <t>CO2 Emissions</t>
  </si>
  <si>
    <t>N2O Emissions</t>
  </si>
  <si>
    <t>CH4 Emissions</t>
  </si>
  <si>
    <t>CH4 &amp;</t>
  </si>
  <si>
    <t>Industrial Sector GHG</t>
  </si>
  <si>
    <t>(gallon)</t>
  </si>
  <si>
    <r>
      <rPr>
        <b/>
        <sz val="8"/>
        <color rgb="FF000000"/>
        <rFont val="Arial"/>
        <family val="2"/>
      </rPr>
      <t>CO</t>
    </r>
    <r>
      <rPr>
        <b/>
        <vertAlign val="subscript"/>
        <sz val="8"/>
        <color rgb="FF000000"/>
        <rFont val="Arial"/>
        <family val="2"/>
      </rPr>
      <t>2</t>
    </r>
  </si>
  <si>
    <t>(MMTCE)</t>
  </si>
  <si>
    <r>
      <rPr>
        <b/>
        <sz val="8"/>
        <color rgb="FF000000"/>
        <rFont val="Arial"/>
        <family val="2"/>
      </rPr>
      <t>CH</t>
    </r>
    <r>
      <rPr>
        <b/>
        <vertAlign val="subscript"/>
        <sz val="8"/>
        <color rgb="FF000000"/>
        <rFont val="Arial"/>
        <family val="2"/>
      </rPr>
      <t>4</t>
    </r>
  </si>
  <si>
    <r>
      <rPr>
        <b/>
        <sz val="10"/>
        <color theme="1"/>
        <rFont val="Calibri"/>
        <family val="2"/>
      </rPr>
      <t>(MMTCO</t>
    </r>
    <r>
      <rPr>
        <b/>
        <vertAlign val="subscript"/>
        <sz val="10"/>
        <color theme="1"/>
        <rFont val="Calibri"/>
        <family val="2"/>
      </rPr>
      <t>2</t>
    </r>
    <r>
      <rPr>
        <b/>
        <sz val="10"/>
        <color theme="1"/>
        <rFont val="Calibri"/>
        <family val="2"/>
      </rPr>
      <t>E)</t>
    </r>
  </si>
  <si>
    <t>Energy Content
kg/MBtu</t>
  </si>
  <si>
    <r>
      <rPr>
        <b/>
        <sz val="8"/>
        <color rgb="FF000000"/>
        <rFont val="Arial"/>
        <family val="2"/>
      </rPr>
      <t>N</t>
    </r>
    <r>
      <rPr>
        <b/>
        <vertAlign val="subscript"/>
        <sz val="8"/>
        <color rgb="FF000000"/>
        <rFont val="Arial"/>
        <family val="2"/>
      </rPr>
      <t>2</t>
    </r>
    <r>
      <rPr>
        <b/>
        <sz val="8"/>
        <color rgb="FF000000"/>
        <rFont val="Arial"/>
        <family val="2"/>
      </rPr>
      <t>O</t>
    </r>
  </si>
  <si>
    <t>Density
kg/gallon</t>
  </si>
  <si>
    <t>N2O EF
g/kg fuel</t>
  </si>
  <si>
    <t>N2O EM
Gigagrams</t>
  </si>
  <si>
    <t>N2O
MTCE</t>
  </si>
  <si>
    <t>N2O
MTCO2E</t>
  </si>
  <si>
    <t>CH4 EF
g/kg fuel</t>
  </si>
  <si>
    <t>CH4 EM
Gigagrams</t>
  </si>
  <si>
    <t>CH4
MTCE</t>
  </si>
  <si>
    <t>CH4
MTCO2E</t>
  </si>
  <si>
    <t>TOTAL
MTCO2E</t>
  </si>
  <si>
    <t>Aviation Gasoline</t>
  </si>
  <si>
    <t>Maryland Abandoned Coal Mines Emissions Summary</t>
  </si>
  <si>
    <r>
      <rPr>
        <b/>
        <sz val="7"/>
        <color theme="1"/>
        <rFont val="Comic Sans MS"/>
        <family val="4"/>
      </rPr>
      <t>(MMTCO</t>
    </r>
    <r>
      <rPr>
        <b/>
        <vertAlign val="subscript"/>
        <sz val="7"/>
        <color theme="1"/>
        <rFont val="Comic Sans MS"/>
        <family val="4"/>
      </rPr>
      <t>2</t>
    </r>
    <r>
      <rPr>
        <b/>
        <sz val="7"/>
        <color theme="1"/>
        <rFont val="Comic Sans MS"/>
        <family val="4"/>
      </rPr>
      <t>E)</t>
    </r>
  </si>
  <si>
    <r>
      <rPr>
        <b/>
        <sz val="7"/>
        <color theme="1"/>
        <rFont val="Comic Sans MS"/>
        <family val="4"/>
      </rPr>
      <t>(MMTCO</t>
    </r>
    <r>
      <rPr>
        <b/>
        <vertAlign val="subscript"/>
        <sz val="7"/>
        <color theme="1"/>
        <rFont val="Comic Sans MS"/>
        <family val="4"/>
      </rPr>
      <t>2</t>
    </r>
    <r>
      <rPr>
        <b/>
        <sz val="7"/>
        <color theme="1"/>
        <rFont val="Comic Sans MS"/>
        <family val="4"/>
      </rPr>
      <t>E)</t>
    </r>
  </si>
  <si>
    <t>Default MD Abandoned Mine Emissions
Gg/Year</t>
  </si>
  <si>
    <r>
      <rPr>
        <b/>
        <sz val="7"/>
        <color theme="1"/>
        <rFont val="Comic Sans MS"/>
        <family val="4"/>
      </rPr>
      <t>(MMTCO</t>
    </r>
    <r>
      <rPr>
        <b/>
        <vertAlign val="subscript"/>
        <sz val="7"/>
        <color theme="1"/>
        <rFont val="Comic Sans MS"/>
        <family val="4"/>
      </rPr>
      <t>2</t>
    </r>
    <r>
      <rPr>
        <b/>
        <sz val="7"/>
        <color theme="1"/>
        <rFont val="Comic Sans MS"/>
        <family val="4"/>
      </rPr>
      <t>E)</t>
    </r>
  </si>
  <si>
    <t xml:space="preserve">Mine Status
Percent </t>
  </si>
  <si>
    <r>
      <rPr>
        <b/>
        <sz val="7"/>
        <color theme="1"/>
        <rFont val="Comic Sans MS"/>
        <family val="4"/>
      </rPr>
      <t>(MMTCO</t>
    </r>
    <r>
      <rPr>
        <b/>
        <vertAlign val="subscript"/>
        <sz val="7"/>
        <color theme="1"/>
        <rFont val="Comic Sans MS"/>
        <family val="4"/>
      </rPr>
      <t>2</t>
    </r>
    <r>
      <rPr>
        <b/>
        <sz val="7"/>
        <color theme="1"/>
        <rFont val="Comic Sans MS"/>
        <family val="4"/>
      </rPr>
      <t>E)</t>
    </r>
  </si>
  <si>
    <t>Emissions
(MTCE)</t>
  </si>
  <si>
    <r>
      <rPr>
        <b/>
        <sz val="7"/>
        <color theme="1"/>
        <rFont val="Calibri"/>
        <family val="2"/>
      </rPr>
      <t>Emissions
(MTCH</t>
    </r>
    <r>
      <rPr>
        <b/>
        <vertAlign val="subscript"/>
        <sz val="7"/>
        <color theme="1"/>
        <rFont val="Calibri"/>
        <family val="2"/>
      </rPr>
      <t>4</t>
    </r>
    <r>
      <rPr>
        <b/>
        <sz val="7"/>
        <color theme="1"/>
        <rFont val="Calibri"/>
        <family val="2"/>
      </rPr>
      <t>)</t>
    </r>
  </si>
  <si>
    <r>
      <rPr>
        <b/>
        <sz val="7"/>
        <color theme="1"/>
        <rFont val="Calibri"/>
        <family val="2"/>
      </rPr>
      <t>Emissions
(MTCO</t>
    </r>
    <r>
      <rPr>
        <b/>
        <vertAlign val="subscript"/>
        <sz val="7"/>
        <color theme="1"/>
        <rFont val="Calibri"/>
        <family val="2"/>
      </rPr>
      <t>2</t>
    </r>
    <r>
      <rPr>
        <b/>
        <sz val="7"/>
        <color theme="1"/>
        <rFont val="Calibri"/>
        <family val="2"/>
      </rPr>
      <t>E)</t>
    </r>
  </si>
  <si>
    <t>Vented</t>
  </si>
  <si>
    <t>Sealed</t>
  </si>
  <si>
    <t>Flooded</t>
  </si>
  <si>
    <t>Maryland Coal Mines Emissions Summary</t>
  </si>
  <si>
    <t>Emissions (MMTCO2E)</t>
  </si>
  <si>
    <t>Distillate Fuel - Farm</t>
  </si>
  <si>
    <t>Abandoned Coal Mines</t>
  </si>
  <si>
    <t>Distillate Fuel - Construction</t>
  </si>
  <si>
    <t>Distillate Fuel - Ind HD Diesel</t>
  </si>
  <si>
    <t>Distillate Fuel - Locomotive</t>
  </si>
  <si>
    <t>Emissions (MTCO2E)</t>
  </si>
  <si>
    <t>Distillate Fuel - Marine</t>
  </si>
  <si>
    <t>Jet Fuel, Kerosene</t>
  </si>
  <si>
    <t>Jet Fuel, Naphtha</t>
  </si>
  <si>
    <t>Emissions (MTCE)</t>
  </si>
  <si>
    <t>Motor Gasoline - Farm</t>
  </si>
  <si>
    <t>Cement Industry Production Emissions</t>
  </si>
  <si>
    <t>WSC Methodology used in Emission Certification Reports.</t>
  </si>
  <si>
    <t>CO2 from Raw Meal Converted to Clinker</t>
  </si>
  <si>
    <t>Holcim</t>
  </si>
  <si>
    <t>Lehigh</t>
  </si>
  <si>
    <t>Essroc</t>
  </si>
  <si>
    <t>MD Total</t>
  </si>
  <si>
    <t>Facility:</t>
  </si>
  <si>
    <t>Emissions by Gas (MTCH4)</t>
  </si>
  <si>
    <t>Clinker Produced (metric tonnes)</t>
  </si>
  <si>
    <t>Motor Gasoline - Construction</t>
  </si>
  <si>
    <r>
      <rPr>
        <sz val="10"/>
        <color theme="1"/>
        <rFont val="Arial"/>
        <family val="2"/>
      </rPr>
      <t>Calcination Emission Factor ( kg CO</t>
    </r>
    <r>
      <rPr>
        <vertAlign val="subscript"/>
        <sz val="10"/>
        <color theme="1"/>
        <rFont val="Arial"/>
        <family val="2"/>
      </rPr>
      <t>2</t>
    </r>
    <r>
      <rPr>
        <sz val="10"/>
        <color theme="1"/>
        <rFont val="Arial"/>
        <family val="2"/>
      </rPr>
      <t>/ tonnes Clinker)</t>
    </r>
  </si>
  <si>
    <r>
      <rPr>
        <sz val="10"/>
        <color rgb="FFFF0000"/>
        <rFont val="Arial"/>
        <family val="2"/>
      </rPr>
      <t>Clinker CO</t>
    </r>
    <r>
      <rPr>
        <vertAlign val="subscript"/>
        <sz val="10"/>
        <color rgb="FFFF0000"/>
        <rFont val="Arial"/>
        <family val="2"/>
      </rPr>
      <t>2</t>
    </r>
    <r>
      <rPr>
        <sz val="10"/>
        <color rgb="FFFF0000"/>
        <rFont val="Arial"/>
        <family val="2"/>
      </rPr>
      <t xml:space="preserve"> Emission (tonnes CO</t>
    </r>
    <r>
      <rPr>
        <vertAlign val="subscript"/>
        <sz val="10"/>
        <color rgb="FFFF0000"/>
        <rFont val="Arial"/>
        <family val="2"/>
      </rPr>
      <t>2</t>
    </r>
    <r>
      <rPr>
        <sz val="10"/>
        <color rgb="FFFF0000"/>
        <rFont val="Arial"/>
        <family val="2"/>
      </rPr>
      <t>/yr)</t>
    </r>
  </si>
  <si>
    <t>Motor Gasoline - Ind HD Utility</t>
  </si>
  <si>
    <r>
      <rPr>
        <b/>
        <sz val="10"/>
        <color theme="1"/>
        <rFont val="Arial"/>
        <family val="2"/>
      </rPr>
      <t>CO</t>
    </r>
    <r>
      <rPr>
        <b/>
        <vertAlign val="subscript"/>
        <sz val="10"/>
        <color theme="1"/>
        <rFont val="Arial"/>
        <family val="2"/>
      </rPr>
      <t>2</t>
    </r>
    <r>
      <rPr>
        <b/>
        <sz val="10"/>
        <color theme="1"/>
        <rFont val="Arial"/>
        <family val="2"/>
      </rPr>
      <t xml:space="preserve"> from Calcination of CKD leaving the Kiln system</t>
    </r>
  </si>
  <si>
    <t>CKD Produced (metric tonnes)</t>
  </si>
  <si>
    <r>
      <rPr>
        <sz val="10"/>
        <color theme="1"/>
        <rFont val="Arial"/>
        <family val="2"/>
      </rPr>
      <t>CKD Emission Factor ( t CO</t>
    </r>
    <r>
      <rPr>
        <vertAlign val="subscript"/>
        <sz val="10"/>
        <color theme="1"/>
        <rFont val="Arial"/>
        <family val="2"/>
      </rPr>
      <t>2</t>
    </r>
    <r>
      <rPr>
        <sz val="10"/>
        <color theme="1"/>
        <rFont val="Arial"/>
        <family val="2"/>
      </rPr>
      <t>/ tonnes CKD)</t>
    </r>
  </si>
  <si>
    <t>Motor Gasoline - Ind Small Utility</t>
  </si>
  <si>
    <t xml:space="preserve">Calcination rate of CKD [%]-Default </t>
  </si>
  <si>
    <r>
      <rPr>
        <sz val="10"/>
        <color rgb="FFFF0000"/>
        <rFont val="Arial"/>
        <family val="2"/>
      </rPr>
      <t>CKD CO</t>
    </r>
    <r>
      <rPr>
        <vertAlign val="subscript"/>
        <sz val="10"/>
        <color rgb="FFFF0000"/>
        <rFont val="Arial"/>
        <family val="2"/>
      </rPr>
      <t>2</t>
    </r>
    <r>
      <rPr>
        <sz val="10"/>
        <color rgb="FFFF0000"/>
        <rFont val="Arial"/>
        <family val="2"/>
      </rPr>
      <t xml:space="preserve"> Emission (tonnes CO</t>
    </r>
    <r>
      <rPr>
        <vertAlign val="subscript"/>
        <sz val="10"/>
        <color rgb="FFFF0000"/>
        <rFont val="Arial"/>
        <family val="2"/>
      </rPr>
      <t>2</t>
    </r>
    <r>
      <rPr>
        <sz val="10"/>
        <color rgb="FFFF0000"/>
        <rFont val="Arial"/>
        <family val="2"/>
      </rPr>
      <t>/yr)</t>
    </r>
  </si>
  <si>
    <r>
      <rPr>
        <b/>
        <sz val="10"/>
        <color theme="1"/>
        <rFont val="Arial"/>
        <family val="2"/>
      </rPr>
      <t>CO</t>
    </r>
    <r>
      <rPr>
        <b/>
        <vertAlign val="subscript"/>
        <sz val="10"/>
        <color theme="1"/>
        <rFont val="Arial"/>
        <family val="2"/>
      </rPr>
      <t>2</t>
    </r>
    <r>
      <rPr>
        <b/>
        <sz val="10"/>
        <color theme="1"/>
        <rFont val="Arial"/>
        <family val="2"/>
      </rPr>
      <t xml:space="preserve"> from Organic Carbon Content of Raw Meal</t>
    </r>
  </si>
  <si>
    <t>Motor Gasoline - Marine</t>
  </si>
  <si>
    <t xml:space="preserve"> Raw Meal to Clinker Ratio (Default)</t>
  </si>
  <si>
    <t>Raw Meal Consumption (metric tonnes)</t>
  </si>
  <si>
    <t>Organic Carbon Content of Raw Meal (Average)</t>
  </si>
  <si>
    <r>
      <rPr>
        <sz val="10"/>
        <color rgb="FFFF0000"/>
        <rFont val="Arial"/>
        <family val="2"/>
      </rPr>
      <t xml:space="preserve"> CO</t>
    </r>
    <r>
      <rPr>
        <vertAlign val="subscript"/>
        <sz val="10"/>
        <color rgb="FFFF0000"/>
        <rFont val="Arial"/>
        <family val="2"/>
      </rPr>
      <t>2</t>
    </r>
    <r>
      <rPr>
        <sz val="10"/>
        <color rgb="FFFF0000"/>
        <rFont val="Arial"/>
        <family val="2"/>
      </rPr>
      <t xml:space="preserve"> Emission (tonnes CO</t>
    </r>
    <r>
      <rPr>
        <vertAlign val="subscript"/>
        <sz val="10"/>
        <color rgb="FFFF0000"/>
        <rFont val="Arial"/>
        <family val="2"/>
      </rPr>
      <t>2</t>
    </r>
    <r>
      <rPr>
        <sz val="10"/>
        <color rgb="FFFF0000"/>
        <rFont val="Arial"/>
        <family val="2"/>
      </rPr>
      <t>/yr)</t>
    </r>
  </si>
  <si>
    <r>
      <rPr>
        <sz val="8"/>
        <color theme="1"/>
        <rFont val="Arial"/>
        <family val="2"/>
      </rPr>
      <t xml:space="preserve">                                                                        MD Total Cement Process CO</t>
    </r>
    <r>
      <rPr>
        <vertAlign val="subscript"/>
        <sz val="10"/>
        <color theme="1"/>
        <rFont val="Arial"/>
        <family val="2"/>
      </rPr>
      <t>2</t>
    </r>
    <r>
      <rPr>
        <sz val="8"/>
        <color theme="1"/>
        <rFont val="Arial"/>
        <family val="2"/>
      </rPr>
      <t xml:space="preserve"> (metric tonnes) = </t>
    </r>
  </si>
  <si>
    <r>
      <rPr>
        <sz val="8"/>
        <color rgb="FFFF0000"/>
        <rFont val="Arial"/>
        <family val="2"/>
      </rPr>
      <t xml:space="preserve">                                            MD Total Cement Process CO</t>
    </r>
    <r>
      <rPr>
        <vertAlign val="subscript"/>
        <sz val="10"/>
        <color rgb="FFFF0000"/>
        <rFont val="Arial"/>
        <family val="2"/>
      </rPr>
      <t>2</t>
    </r>
    <r>
      <rPr>
        <sz val="8"/>
        <color rgb="FFFF0000"/>
        <rFont val="Arial"/>
        <family val="2"/>
      </rPr>
      <t xml:space="preserve"> (million metric tonnes CO2 Equivalent) = </t>
    </r>
  </si>
  <si>
    <t>SIT Methodology</t>
  </si>
  <si>
    <t>Emissions from Cement Kiln Dust</t>
  </si>
  <si>
    <t>(Metric Tons)</t>
  </si>
  <si>
    <r>
      <rPr>
        <b/>
        <sz val="7"/>
        <color theme="1"/>
        <rFont val="Comic Sans MS"/>
        <family val="4"/>
      </rPr>
      <t>(t CO</t>
    </r>
    <r>
      <rPr>
        <b/>
        <vertAlign val="subscript"/>
        <sz val="7"/>
        <color theme="1"/>
        <rFont val="Comic Sans MS"/>
        <family val="4"/>
      </rPr>
      <t>2</t>
    </r>
    <r>
      <rPr>
        <b/>
        <sz val="7"/>
        <color theme="1"/>
        <rFont val="Comic Sans MS"/>
        <family val="4"/>
      </rPr>
      <t>/t production)</t>
    </r>
  </si>
  <si>
    <r>
      <rPr>
        <b/>
        <sz val="7"/>
        <color theme="1"/>
        <rFont val="Comic Sans MS"/>
        <family val="4"/>
      </rPr>
      <t>(Metric Tons CO</t>
    </r>
    <r>
      <rPr>
        <b/>
        <vertAlign val="subscript"/>
        <sz val="7"/>
        <color theme="1"/>
        <rFont val="Comic Sans MS"/>
        <family val="4"/>
      </rPr>
      <t>2</t>
    </r>
    <r>
      <rPr>
        <b/>
        <sz val="7"/>
        <color theme="1"/>
        <rFont val="Comic Sans MS"/>
        <family val="4"/>
      </rPr>
      <t>)</t>
    </r>
  </si>
  <si>
    <r>
      <rPr>
        <b/>
        <sz val="7"/>
        <color theme="1"/>
        <rFont val="Comic Sans MS"/>
        <family val="4"/>
      </rPr>
      <t>(Metric Tons CO</t>
    </r>
    <r>
      <rPr>
        <b/>
        <vertAlign val="subscript"/>
        <sz val="7"/>
        <color theme="1"/>
        <rFont val="Comic Sans MS"/>
        <family val="4"/>
      </rPr>
      <t>2</t>
    </r>
    <r>
      <rPr>
        <b/>
        <sz val="7"/>
        <color theme="1"/>
        <rFont val="Comic Sans MS"/>
        <family val="4"/>
      </rPr>
      <t>)</t>
    </r>
  </si>
  <si>
    <t>(MTCE)</t>
  </si>
  <si>
    <r>
      <rPr>
        <b/>
        <sz val="7"/>
        <color theme="1"/>
        <rFont val="Comic Sans MS"/>
        <family val="4"/>
      </rPr>
      <t>(MTCO</t>
    </r>
    <r>
      <rPr>
        <b/>
        <vertAlign val="subscript"/>
        <sz val="7"/>
        <color theme="1"/>
        <rFont val="Comic Sans MS"/>
        <family val="4"/>
      </rPr>
      <t>2</t>
    </r>
    <r>
      <rPr>
        <b/>
        <sz val="7"/>
        <color theme="1"/>
        <rFont val="Comic Sans MS"/>
        <family val="4"/>
      </rPr>
      <t>E)</t>
    </r>
  </si>
  <si>
    <r>
      <rPr>
        <b/>
        <sz val="7"/>
        <color theme="1"/>
        <rFont val="Comic Sans MS"/>
        <family val="4"/>
      </rPr>
      <t>(MMTCO</t>
    </r>
    <r>
      <rPr>
        <b/>
        <vertAlign val="subscript"/>
        <sz val="7"/>
        <color theme="1"/>
        <rFont val="Comic Sans MS"/>
        <family val="4"/>
      </rPr>
      <t>2</t>
    </r>
    <r>
      <rPr>
        <b/>
        <sz val="7"/>
        <color theme="1"/>
        <rFont val="Comic Sans MS"/>
        <family val="4"/>
      </rPr>
      <t>E)</t>
    </r>
  </si>
  <si>
    <t>(Clinker)</t>
  </si>
  <si>
    <r>
      <rPr>
        <b/>
        <sz val="10"/>
        <color theme="1"/>
        <rFont val="Calibri"/>
        <family val="2"/>
      </rPr>
      <t>(MMTCO</t>
    </r>
    <r>
      <rPr>
        <b/>
        <vertAlign val="subscript"/>
        <sz val="10"/>
        <color theme="1"/>
        <rFont val="Calibri"/>
        <family val="2"/>
      </rPr>
      <t>2</t>
    </r>
    <r>
      <rPr>
        <b/>
        <sz val="10"/>
        <color theme="1"/>
        <rFont val="Calibri"/>
        <family val="2"/>
      </rPr>
      <t>E)</t>
    </r>
  </si>
  <si>
    <t>- (</t>
  </si>
  <si>
    <t>) =</t>
  </si>
  <si>
    <r>
      <rPr>
        <sz val="10"/>
        <color theme="1"/>
        <rFont val="Arial"/>
        <family val="2"/>
      </rPr>
      <t>Calcination Emission Factor ( kg CO</t>
    </r>
    <r>
      <rPr>
        <vertAlign val="subscript"/>
        <sz val="10"/>
        <color theme="1"/>
        <rFont val="Arial"/>
        <family val="2"/>
      </rPr>
      <t>2</t>
    </r>
    <r>
      <rPr>
        <sz val="10"/>
        <color theme="1"/>
        <rFont val="Arial"/>
        <family val="2"/>
      </rPr>
      <t>/ tonnes Clinker)</t>
    </r>
  </si>
  <si>
    <r>
      <rPr>
        <sz val="10"/>
        <color rgb="FFFF0000"/>
        <rFont val="Arial"/>
        <family val="2"/>
      </rPr>
      <t>Clinker CO</t>
    </r>
    <r>
      <rPr>
        <vertAlign val="subscript"/>
        <sz val="10"/>
        <color rgb="FFFF0000"/>
        <rFont val="Arial"/>
        <family val="2"/>
      </rPr>
      <t>2</t>
    </r>
    <r>
      <rPr>
        <sz val="10"/>
        <color rgb="FFFF0000"/>
        <rFont val="Arial"/>
        <family val="2"/>
      </rPr>
      <t xml:space="preserve"> Emission (tonnes CO</t>
    </r>
    <r>
      <rPr>
        <vertAlign val="subscript"/>
        <sz val="10"/>
        <color rgb="FFFF0000"/>
        <rFont val="Arial"/>
        <family val="2"/>
      </rPr>
      <t>2</t>
    </r>
    <r>
      <rPr>
        <sz val="10"/>
        <color rgb="FFFF0000"/>
        <rFont val="Arial"/>
        <family val="2"/>
      </rPr>
      <t>/yr)</t>
    </r>
  </si>
  <si>
    <r>
      <rPr>
        <b/>
        <sz val="10"/>
        <color theme="1"/>
        <rFont val="Arial"/>
        <family val="2"/>
      </rPr>
      <t>CO</t>
    </r>
    <r>
      <rPr>
        <b/>
        <vertAlign val="subscript"/>
        <sz val="10"/>
        <color theme="1"/>
        <rFont val="Arial"/>
        <family val="2"/>
      </rPr>
      <t>2</t>
    </r>
    <r>
      <rPr>
        <b/>
        <sz val="10"/>
        <color theme="1"/>
        <rFont val="Arial"/>
        <family val="2"/>
      </rPr>
      <t xml:space="preserve"> from Calcination of CKD leaving the Kiln system</t>
    </r>
  </si>
  <si>
    <t>International Bunker Fuels</t>
  </si>
  <si>
    <r>
      <rPr>
        <sz val="10"/>
        <color theme="1"/>
        <rFont val="Arial"/>
        <family val="2"/>
      </rPr>
      <t>CKD Emission Factor ( t CO</t>
    </r>
    <r>
      <rPr>
        <vertAlign val="subscript"/>
        <sz val="10"/>
        <color theme="1"/>
        <rFont val="Arial"/>
        <family val="2"/>
      </rPr>
      <t>2</t>
    </r>
    <r>
      <rPr>
        <sz val="10"/>
        <color theme="1"/>
        <rFont val="Arial"/>
        <family val="2"/>
      </rPr>
      <t>/ tonnes CKD)</t>
    </r>
  </si>
  <si>
    <r>
      <rPr>
        <sz val="10"/>
        <color rgb="FFFF0000"/>
        <rFont val="Arial"/>
        <family val="2"/>
      </rPr>
      <t>CKD CO</t>
    </r>
    <r>
      <rPr>
        <vertAlign val="subscript"/>
        <sz val="10"/>
        <color rgb="FFFF0000"/>
        <rFont val="Arial"/>
        <family val="2"/>
      </rPr>
      <t>2</t>
    </r>
    <r>
      <rPr>
        <sz val="10"/>
        <color rgb="FFFF0000"/>
        <rFont val="Arial"/>
        <family val="2"/>
      </rPr>
      <t xml:space="preserve"> Emission (tonnes CO</t>
    </r>
    <r>
      <rPr>
        <vertAlign val="subscript"/>
        <sz val="10"/>
        <color rgb="FFFF0000"/>
        <rFont val="Arial"/>
        <family val="2"/>
      </rPr>
      <t>2</t>
    </r>
    <r>
      <rPr>
        <sz val="10"/>
        <color rgb="FFFF0000"/>
        <rFont val="Arial"/>
        <family val="2"/>
      </rPr>
      <t>/yr)</t>
    </r>
  </si>
  <si>
    <r>
      <rPr>
        <b/>
        <sz val="10"/>
        <color theme="1"/>
        <rFont val="Arial"/>
        <family val="2"/>
      </rPr>
      <t>CO</t>
    </r>
    <r>
      <rPr>
        <b/>
        <vertAlign val="subscript"/>
        <sz val="10"/>
        <color theme="1"/>
        <rFont val="Arial"/>
        <family val="2"/>
      </rPr>
      <t>2</t>
    </r>
    <r>
      <rPr>
        <b/>
        <sz val="10"/>
        <color theme="1"/>
        <rFont val="Arial"/>
        <family val="2"/>
      </rPr>
      <t xml:space="preserve"> from Organic Carbon Content of Raw Meal</t>
    </r>
  </si>
  <si>
    <r>
      <rPr>
        <b/>
        <sz val="7"/>
        <color theme="1"/>
        <rFont val="Comic Sans MS"/>
        <family val="4"/>
      </rPr>
      <t>(MMTCO</t>
    </r>
    <r>
      <rPr>
        <b/>
        <vertAlign val="subscript"/>
        <sz val="7"/>
        <color theme="1"/>
        <rFont val="Comic Sans MS"/>
        <family val="4"/>
      </rPr>
      <t>2</t>
    </r>
    <r>
      <rPr>
        <b/>
        <sz val="7"/>
        <color theme="1"/>
        <rFont val="Comic Sans MS"/>
        <family val="4"/>
      </rPr>
      <t>E)</t>
    </r>
  </si>
  <si>
    <r>
      <rPr>
        <sz val="10"/>
        <color rgb="FFFF0000"/>
        <rFont val="Arial"/>
        <family val="2"/>
      </rPr>
      <t xml:space="preserve"> CO</t>
    </r>
    <r>
      <rPr>
        <vertAlign val="subscript"/>
        <sz val="10"/>
        <color rgb="FFFF0000"/>
        <rFont val="Arial"/>
        <family val="2"/>
      </rPr>
      <t>2</t>
    </r>
    <r>
      <rPr>
        <sz val="10"/>
        <color rgb="FFFF0000"/>
        <rFont val="Arial"/>
        <family val="2"/>
      </rPr>
      <t xml:space="preserve"> Emission (tonnes CO</t>
    </r>
    <r>
      <rPr>
        <vertAlign val="subscript"/>
        <sz val="10"/>
        <color rgb="FFFF0000"/>
        <rFont val="Arial"/>
        <family val="2"/>
      </rPr>
      <t>2</t>
    </r>
    <r>
      <rPr>
        <sz val="10"/>
        <color rgb="FFFF0000"/>
        <rFont val="Arial"/>
        <family val="2"/>
      </rPr>
      <t>/yr)</t>
    </r>
  </si>
  <si>
    <r>
      <rPr>
        <sz val="8"/>
        <color theme="1"/>
        <rFont val="Arial"/>
        <family val="2"/>
      </rPr>
      <t>MD Total Cement Process CO</t>
    </r>
    <r>
      <rPr>
        <vertAlign val="subscript"/>
        <sz val="10"/>
        <color theme="1"/>
        <rFont val="Arial"/>
        <family val="2"/>
      </rPr>
      <t>2</t>
    </r>
    <r>
      <rPr>
        <sz val="8"/>
        <color theme="1"/>
        <rFont val="Arial"/>
        <family val="2"/>
      </rPr>
      <t xml:space="preserve"> (metric tonnes) </t>
    </r>
  </si>
  <si>
    <r>
      <rPr>
        <sz val="8"/>
        <color rgb="FFFF0000"/>
        <rFont val="Arial"/>
        <family val="2"/>
      </rPr>
      <t>MD Total Cement Process CO</t>
    </r>
    <r>
      <rPr>
        <vertAlign val="subscript"/>
        <sz val="10"/>
        <color rgb="FFFF0000"/>
        <rFont val="Arial"/>
        <family val="2"/>
      </rPr>
      <t>2</t>
    </r>
    <r>
      <rPr>
        <sz val="8"/>
        <color rgb="FFFF0000"/>
        <rFont val="Arial"/>
        <family val="2"/>
      </rPr>
      <t xml:space="preserve"> (million metric tonnes CO2 Equivalent) </t>
    </r>
  </si>
  <si>
    <t>Transportation Sector: On-Road Mobile Sources  2006</t>
  </si>
  <si>
    <t>VMT (Millions)</t>
  </si>
  <si>
    <t>CO2e</t>
  </si>
  <si>
    <t>TOTAL</t>
  </si>
  <si>
    <t>By Fuel Type</t>
  </si>
  <si>
    <t>By MOVES Vehicle Type</t>
  </si>
  <si>
    <t>Motorcycle</t>
  </si>
  <si>
    <t>Passenger Car</t>
  </si>
  <si>
    <t>Passenger Truck</t>
  </si>
  <si>
    <t>Light Commercial Truck</t>
  </si>
  <si>
    <t>Intercity Bus</t>
  </si>
  <si>
    <t>Transit Bus</t>
  </si>
  <si>
    <t>School Bus</t>
  </si>
  <si>
    <t>Refuse Truck</t>
  </si>
  <si>
    <t>Single Unit Short-haul Truck</t>
  </si>
  <si>
    <t>Single Unit Long-haul Truck</t>
  </si>
  <si>
    <t>Motor Home</t>
  </si>
  <si>
    <t>Combination Short-haul Truck</t>
  </si>
  <si>
    <t>Combination Long-haul Truck</t>
  </si>
  <si>
    <t>Scenario</t>
  </si>
  <si>
    <t>MOVES2010a Output</t>
  </si>
  <si>
    <r>
      <rPr>
        <b/>
        <sz val="10"/>
        <color rgb="FFFFFFFF"/>
        <rFont val="Calibri"/>
        <family val="2"/>
      </rPr>
      <t>Actual Statewide               Fuel Sales</t>
    </r>
    <r>
      <rPr>
        <b/>
        <vertAlign val="superscript"/>
        <sz val="10"/>
        <color rgb="FFFFFFFF"/>
        <rFont val="Calibri"/>
        <family val="2"/>
      </rPr>
      <t xml:space="preserve">2                                              </t>
    </r>
    <r>
      <rPr>
        <b/>
        <i/>
        <sz val="10"/>
        <color rgb="FFFFFFFF"/>
        <rFont val="Calibri"/>
        <family val="2"/>
      </rPr>
      <t>(Thousand gallons)</t>
    </r>
  </si>
  <si>
    <r>
      <rPr>
        <b/>
        <sz val="10"/>
        <color rgb="FFFFFFFF"/>
        <rFont val="Calibri"/>
        <family val="2"/>
      </rPr>
      <t xml:space="preserve">Energy Consumption </t>
    </r>
    <r>
      <rPr>
        <b/>
        <i/>
        <sz val="10"/>
        <color rgb="FFFFFFFF"/>
        <rFont val="Calibri"/>
        <family val="2"/>
      </rPr>
      <t>(Trillion BTU)</t>
    </r>
  </si>
  <si>
    <r>
      <rPr>
        <b/>
        <sz val="10"/>
        <color rgb="FFFFFFFF"/>
        <rFont val="Calibri"/>
        <family val="2"/>
      </rPr>
      <t>Estimated Fuel Consumption</t>
    </r>
    <r>
      <rPr>
        <b/>
        <vertAlign val="superscript"/>
        <sz val="10"/>
        <color rgb="FFFFFFFF"/>
        <rFont val="Calibri"/>
        <family val="2"/>
      </rPr>
      <t xml:space="preserve">1  </t>
    </r>
    <r>
      <rPr>
        <b/>
        <i/>
        <sz val="10"/>
        <color rgb="FFFFFFFF"/>
        <rFont val="Calibri"/>
        <family val="2"/>
      </rPr>
      <t>(Thousand Gallons)</t>
    </r>
  </si>
  <si>
    <t>2020 BAU</t>
  </si>
  <si>
    <t>-----</t>
  </si>
  <si>
    <t>Limestone and Dolomite Use</t>
  </si>
  <si>
    <t>Consumption
(Metric Tons)</t>
  </si>
  <si>
    <t>Emission Factor
(t CO2/t production)</t>
  </si>
  <si>
    <t>Emissions
(MTCO2E)</t>
  </si>
  <si>
    <t>Limestone</t>
  </si>
  <si>
    <t>Iron &amp; Steel Industry Production Emissions</t>
  </si>
  <si>
    <t>Dolomite</t>
  </si>
  <si>
    <t>Product</t>
  </si>
  <si>
    <r>
      <rPr>
        <sz val="8"/>
        <color theme="1"/>
        <rFont val="Arial"/>
        <family val="2"/>
      </rPr>
      <t>CO</t>
    </r>
    <r>
      <rPr>
        <vertAlign val="subscript"/>
        <sz val="10"/>
        <color theme="1"/>
        <rFont val="Arial"/>
        <family val="2"/>
      </rPr>
      <t>2</t>
    </r>
    <r>
      <rPr>
        <sz val="8"/>
        <color theme="1"/>
        <rFont val="Arial"/>
        <family val="2"/>
      </rPr>
      <t xml:space="preserve"> Emission</t>
    </r>
  </si>
  <si>
    <r>
      <rPr>
        <sz val="8"/>
        <color theme="1"/>
        <rFont val="Arial"/>
        <family val="2"/>
      </rPr>
      <t>CH</t>
    </r>
    <r>
      <rPr>
        <vertAlign val="subscript"/>
        <sz val="10"/>
        <color theme="1"/>
        <rFont val="Arial"/>
        <family val="2"/>
      </rPr>
      <t>4</t>
    </r>
    <r>
      <rPr>
        <sz val="8"/>
        <color theme="1"/>
        <rFont val="Arial"/>
        <family val="2"/>
      </rPr>
      <t xml:space="preserve"> Emission </t>
    </r>
  </si>
  <si>
    <r>
      <rPr>
        <sz val="8"/>
        <color theme="1"/>
        <rFont val="Arial"/>
        <family val="2"/>
      </rPr>
      <t>N</t>
    </r>
    <r>
      <rPr>
        <vertAlign val="subscript"/>
        <sz val="10"/>
        <color theme="1"/>
        <rFont val="Arial"/>
        <family val="2"/>
      </rPr>
      <t>2</t>
    </r>
    <r>
      <rPr>
        <sz val="8"/>
        <color theme="1"/>
        <rFont val="Arial"/>
        <family val="2"/>
      </rPr>
      <t>O Emission</t>
    </r>
  </si>
  <si>
    <r>
      <rPr>
        <sz val="8"/>
        <color theme="1"/>
        <rFont val="Arial"/>
        <family val="2"/>
      </rPr>
      <t>CO</t>
    </r>
    <r>
      <rPr>
        <vertAlign val="subscript"/>
        <sz val="10"/>
        <color theme="1"/>
        <rFont val="Arial"/>
        <family val="2"/>
      </rPr>
      <t>2</t>
    </r>
    <r>
      <rPr>
        <sz val="8"/>
        <color theme="1"/>
        <rFont val="Arial"/>
        <family val="2"/>
      </rPr>
      <t xml:space="preserve"> Emission</t>
    </r>
  </si>
  <si>
    <r>
      <rPr>
        <sz val="8"/>
        <color theme="1"/>
        <rFont val="Arial"/>
        <family val="2"/>
      </rPr>
      <t>CO</t>
    </r>
    <r>
      <rPr>
        <vertAlign val="subscript"/>
        <sz val="10"/>
        <color theme="1"/>
        <rFont val="Arial"/>
        <family val="2"/>
      </rPr>
      <t>2</t>
    </r>
    <r>
      <rPr>
        <sz val="8"/>
        <color theme="1"/>
        <rFont val="Arial"/>
        <family val="2"/>
      </rPr>
      <t xml:space="preserve"> Emission</t>
    </r>
  </si>
  <si>
    <r>
      <rPr>
        <sz val="8"/>
        <color theme="1"/>
        <rFont val="Arial"/>
        <family val="2"/>
      </rPr>
      <t>CO</t>
    </r>
    <r>
      <rPr>
        <vertAlign val="subscript"/>
        <sz val="10"/>
        <color theme="1"/>
        <rFont val="Arial"/>
        <family val="2"/>
      </rPr>
      <t>2</t>
    </r>
    <r>
      <rPr>
        <sz val="8"/>
        <color theme="1"/>
        <rFont val="Arial"/>
        <family val="2"/>
      </rPr>
      <t xml:space="preserve"> Emission</t>
    </r>
  </si>
  <si>
    <t>Intensity</t>
  </si>
  <si>
    <t>Magesium Production from Dolomite</t>
  </si>
  <si>
    <r>
      <rPr>
        <sz val="8"/>
        <color theme="1"/>
        <rFont val="Arial"/>
        <family val="2"/>
      </rPr>
      <t>MMTCO</t>
    </r>
    <r>
      <rPr>
        <vertAlign val="subscript"/>
        <sz val="8"/>
        <color theme="1"/>
        <rFont val="Arial"/>
        <family val="2"/>
      </rPr>
      <t>2</t>
    </r>
    <r>
      <rPr>
        <sz val="8"/>
        <color theme="1"/>
        <rFont val="Arial"/>
        <family val="2"/>
      </rPr>
      <t>E</t>
    </r>
  </si>
  <si>
    <t>Sinter Strand</t>
  </si>
  <si>
    <t>Sinter</t>
  </si>
  <si>
    <t>Soda Ash Use</t>
  </si>
  <si>
    <t>Manufacture and Consumption
(Metric tons)</t>
  </si>
  <si>
    <t>L Blast Furnace</t>
  </si>
  <si>
    <t>Iron</t>
  </si>
  <si>
    <t>Manufacture</t>
  </si>
  <si>
    <t>BOF</t>
  </si>
  <si>
    <t>Steel</t>
  </si>
  <si>
    <t>Ammonia Production and Urea Consumption</t>
  </si>
  <si>
    <t>Production &amp; Consumption
(Metric Tons)</t>
  </si>
  <si>
    <t>Emission Factor
(mt CO2/mt activity)</t>
  </si>
  <si>
    <t>Subract emissions from Urea</t>
  </si>
  <si>
    <t xml:space="preserve">Ammonia Production </t>
  </si>
  <si>
    <t>Urea Consumption</t>
  </si>
  <si>
    <t xml:space="preserve">   =</t>
  </si>
  <si>
    <t>State Population</t>
  </si>
  <si>
    <t>Electric Power Transmission &amp; Distribution (T&amp;D)</t>
  </si>
  <si>
    <r>
      <rPr>
        <b/>
        <sz val="9"/>
        <color theme="1"/>
        <rFont val="Calibri"/>
        <family val="2"/>
      </rPr>
      <t>SF</t>
    </r>
    <r>
      <rPr>
        <b/>
        <vertAlign val="subscript"/>
        <sz val="9"/>
        <color theme="1"/>
        <rFont val="Calibri"/>
        <family val="2"/>
      </rPr>
      <t>6</t>
    </r>
    <r>
      <rPr>
        <b/>
        <sz val="9"/>
        <color theme="1"/>
        <rFont val="Calibri"/>
        <family val="2"/>
      </rPr>
      <t xml:space="preserve"> Consumption
(Metric Tons)</t>
    </r>
  </si>
  <si>
    <t>Emission Factor
(t SF6/t Consumption)</t>
  </si>
  <si>
    <t>Emissions
(Metric Tons SF6)</t>
  </si>
  <si>
    <t>Aluminum Production (EastAlCo Shut Down)</t>
  </si>
  <si>
    <t>Production
(Metric Tons)</t>
  </si>
  <si>
    <t>Emission Factor
(t CE/t Production)</t>
  </si>
  <si>
    <t>Production &amp; Consumption</t>
  </si>
  <si>
    <t>Subract emissions</t>
  </si>
  <si>
    <r>
      <rPr>
        <b/>
        <sz val="10"/>
        <color theme="1"/>
        <rFont val="Times New Roman"/>
        <family val="1"/>
      </rPr>
      <t>(mt CO</t>
    </r>
    <r>
      <rPr>
        <b/>
        <vertAlign val="subscript"/>
        <sz val="10"/>
        <color theme="1"/>
        <rFont val="Times New Roman"/>
        <family val="1"/>
      </rPr>
      <t>2</t>
    </r>
    <r>
      <rPr>
        <b/>
        <sz val="10"/>
        <color theme="1"/>
        <rFont val="Times New Roman"/>
        <family val="1"/>
      </rPr>
      <t>/mt activity)</t>
    </r>
  </si>
  <si>
    <t xml:space="preserve"> from Urea</t>
  </si>
  <si>
    <r>
      <rPr>
        <b/>
        <sz val="10"/>
        <color theme="1"/>
        <rFont val="Times New Roman"/>
        <family val="1"/>
      </rPr>
      <t>(MTCO</t>
    </r>
    <r>
      <rPr>
        <b/>
        <vertAlign val="subscript"/>
        <sz val="10"/>
        <color theme="1"/>
        <rFont val="Times New Roman"/>
        <family val="1"/>
      </rPr>
      <t>2</t>
    </r>
    <r>
      <rPr>
        <b/>
        <sz val="10"/>
        <color theme="1"/>
        <rFont val="Times New Roman"/>
        <family val="1"/>
      </rPr>
      <t>E)</t>
    </r>
  </si>
  <si>
    <r>
      <rPr>
        <b/>
        <sz val="10"/>
        <color theme="1"/>
        <rFont val="Times New Roman"/>
        <family val="1"/>
      </rPr>
      <t>(MMTCO</t>
    </r>
    <r>
      <rPr>
        <b/>
        <vertAlign val="subscript"/>
        <sz val="10"/>
        <color theme="1"/>
        <rFont val="Times New Roman"/>
        <family val="1"/>
      </rPr>
      <t>2</t>
    </r>
    <r>
      <rPr>
        <b/>
        <sz val="10"/>
        <color theme="1"/>
        <rFont val="Times New Roman"/>
        <family val="1"/>
      </rPr>
      <t>E)</t>
    </r>
  </si>
  <si>
    <t>Carbon Dioxide Emissions</t>
  </si>
  <si>
    <t>Agricultural Emissions in Maryland</t>
  </si>
  <si>
    <t>Lime Manufacture</t>
  </si>
  <si>
    <t>Enteric Fermentation Emissions</t>
  </si>
  <si>
    <t>Soda Ash</t>
  </si>
  <si>
    <t>Number of Animals
('000 head)</t>
  </si>
  <si>
    <t>Ammonia &amp; Urea</t>
  </si>
  <si>
    <r>
      <rPr>
        <b/>
        <sz val="7"/>
        <color theme="1"/>
        <rFont val="Arial"/>
        <family val="2"/>
      </rPr>
      <t>Emission Factor
(kg CH</t>
    </r>
    <r>
      <rPr>
        <b/>
        <vertAlign val="subscript"/>
        <sz val="7"/>
        <color theme="1"/>
        <rFont val="Arial"/>
        <family val="2"/>
      </rPr>
      <t>4</t>
    </r>
    <r>
      <rPr>
        <b/>
        <sz val="7"/>
        <color theme="1"/>
        <rFont val="Arial"/>
        <family val="2"/>
      </rPr>
      <t>/head)</t>
    </r>
  </si>
  <si>
    <r>
      <rPr>
        <b/>
        <sz val="7"/>
        <color theme="1"/>
        <rFont val="Arial"/>
        <family val="2"/>
      </rPr>
      <t>Emissions
(kg CH</t>
    </r>
    <r>
      <rPr>
        <b/>
        <vertAlign val="subscript"/>
        <sz val="7"/>
        <color theme="1"/>
        <rFont val="Arial"/>
        <family val="2"/>
      </rPr>
      <t>4</t>
    </r>
    <r>
      <rPr>
        <b/>
        <sz val="7"/>
        <color theme="1"/>
        <rFont val="Arial"/>
        <family val="2"/>
      </rPr>
      <t>)</t>
    </r>
  </si>
  <si>
    <r>
      <rPr>
        <b/>
        <sz val="7"/>
        <color theme="1"/>
        <rFont val="Arial"/>
        <family val="2"/>
      </rPr>
      <t>Emissions
(MMTCH</t>
    </r>
    <r>
      <rPr>
        <b/>
        <vertAlign val="subscript"/>
        <sz val="7"/>
        <color theme="1"/>
        <rFont val="Arial"/>
        <family val="2"/>
      </rPr>
      <t>4</t>
    </r>
    <r>
      <rPr>
        <b/>
        <sz val="7"/>
        <color theme="1"/>
        <rFont val="Arial"/>
        <family val="2"/>
      </rPr>
      <t>)</t>
    </r>
  </si>
  <si>
    <t>Emissions
(MMTCE)</t>
  </si>
  <si>
    <t>Iron &amp; Steel Production</t>
  </si>
  <si>
    <r>
      <rPr>
        <b/>
        <sz val="7"/>
        <color theme="1"/>
        <rFont val="Arial"/>
        <family val="2"/>
      </rPr>
      <t>Emissions
(MMTCO</t>
    </r>
    <r>
      <rPr>
        <b/>
        <vertAlign val="subscript"/>
        <sz val="7"/>
        <color theme="1"/>
        <rFont val="Arial"/>
        <family val="2"/>
      </rPr>
      <t>2</t>
    </r>
    <r>
      <rPr>
        <b/>
        <sz val="7"/>
        <color theme="1"/>
        <rFont val="Arial"/>
        <family val="2"/>
      </rPr>
      <t>E)</t>
    </r>
  </si>
  <si>
    <t>Nitrous Oxide Emissions</t>
  </si>
  <si>
    <t>Dairy Cattle</t>
  </si>
  <si>
    <t>Nitric Acid Production</t>
  </si>
  <si>
    <t>Dairy Cows</t>
  </si>
  <si>
    <t>Adipic Acid Production</t>
  </si>
  <si>
    <t>HFC, PFC, and SF6 Emissions</t>
  </si>
  <si>
    <t>Magnesium Production</t>
  </si>
  <si>
    <t>Electric Power Transmission and Distribution Systems</t>
  </si>
  <si>
    <t>HCFC-22 Production</t>
  </si>
  <si>
    <t>Total Emissions</t>
  </si>
  <si>
    <t>Dairy Replacement Heifers</t>
  </si>
  <si>
    <t xml:space="preserve">   Replacements 0-12 mos.</t>
  </si>
  <si>
    <t xml:space="preserve">   Replacements 12-24 mos.</t>
  </si>
  <si>
    <t>Beef Cattle</t>
  </si>
  <si>
    <t>Beef Cows</t>
  </si>
  <si>
    <t>Beef Replacement Heifers</t>
  </si>
  <si>
    <t>Heifer Stockers</t>
  </si>
  <si>
    <t>Steer Stockers</t>
  </si>
  <si>
    <t>Feedlot Heifers</t>
  </si>
  <si>
    <t>Feedlot Steer</t>
  </si>
  <si>
    <t>Bulls</t>
  </si>
  <si>
    <t>Sheep</t>
  </si>
  <si>
    <t>Goats</t>
  </si>
  <si>
    <t>Swine</t>
  </si>
  <si>
    <t>Horses</t>
  </si>
  <si>
    <t>Manure Management Methane Emissions</t>
  </si>
  <si>
    <t>Number of Animals ('000 head)</t>
  </si>
  <si>
    <t>Typical Animal Mass (TAM) (kg)</t>
  </si>
  <si>
    <t>Volatile Solids (VS)  [kg VS/1000 kg animal mass/day]</t>
  </si>
  <si>
    <t>Total VS (kg/yr)</t>
  </si>
  <si>
    <t>CO2 from Urea Fertilization in Maryland</t>
  </si>
  <si>
    <r>
      <rPr>
        <b/>
        <sz val="7"/>
        <color theme="1"/>
        <rFont val="Comic Sans MS"/>
        <family val="4"/>
      </rPr>
      <t>Max Pot. Emissions (m</t>
    </r>
    <r>
      <rPr>
        <b/>
        <vertAlign val="superscript"/>
        <sz val="7"/>
        <color theme="1"/>
        <rFont val="Comic Sans MS"/>
        <family val="4"/>
      </rPr>
      <t>3</t>
    </r>
    <r>
      <rPr>
        <b/>
        <sz val="7"/>
        <color theme="1"/>
        <rFont val="Comic Sans MS"/>
        <family val="4"/>
      </rPr>
      <t xml:space="preserve"> CH</t>
    </r>
    <r>
      <rPr>
        <b/>
        <vertAlign val="subscript"/>
        <sz val="7"/>
        <color theme="1"/>
        <rFont val="Comic Sans MS"/>
        <family val="4"/>
      </rPr>
      <t>4</t>
    </r>
    <r>
      <rPr>
        <b/>
        <sz val="7"/>
        <color theme="1"/>
        <rFont val="Comic Sans MS"/>
        <family val="4"/>
      </rPr>
      <t>/ kg VS)</t>
    </r>
  </si>
  <si>
    <t>Weighted MCF</t>
  </si>
  <si>
    <r>
      <rPr>
        <b/>
        <sz val="7"/>
        <color theme="1"/>
        <rFont val="Comic Sans MS"/>
        <family val="4"/>
      </rPr>
      <t>Emissions      (m</t>
    </r>
    <r>
      <rPr>
        <b/>
        <vertAlign val="superscript"/>
        <sz val="7"/>
        <color theme="1"/>
        <rFont val="Comic Sans MS"/>
        <family val="4"/>
      </rPr>
      <t>3</t>
    </r>
    <r>
      <rPr>
        <b/>
        <sz val="7"/>
        <color theme="1"/>
        <rFont val="Comic Sans MS"/>
        <family val="4"/>
      </rPr>
      <t xml:space="preserve"> CH</t>
    </r>
    <r>
      <rPr>
        <b/>
        <vertAlign val="subscript"/>
        <sz val="7"/>
        <color theme="1"/>
        <rFont val="Comic Sans MS"/>
        <family val="4"/>
      </rPr>
      <t>4</t>
    </r>
    <r>
      <rPr>
        <b/>
        <sz val="7"/>
        <color theme="1"/>
        <rFont val="Comic Sans MS"/>
        <family val="4"/>
      </rPr>
      <t>)</t>
    </r>
  </si>
  <si>
    <r>
      <rPr>
        <b/>
        <sz val="7"/>
        <color theme="1"/>
        <rFont val="Comic Sans MS"/>
        <family val="4"/>
      </rPr>
      <t>Emissions (Metric Tons CH</t>
    </r>
    <r>
      <rPr>
        <b/>
        <vertAlign val="subscript"/>
        <sz val="7"/>
        <color theme="1"/>
        <rFont val="Comic Sans MS"/>
        <family val="4"/>
      </rPr>
      <t>4</t>
    </r>
    <r>
      <rPr>
        <b/>
        <sz val="7"/>
        <color theme="1"/>
        <rFont val="Comic Sans MS"/>
        <family val="4"/>
      </rPr>
      <t>)</t>
    </r>
  </si>
  <si>
    <r>
      <rPr>
        <b/>
        <sz val="7"/>
        <color theme="1"/>
        <rFont val="Comic Sans MS"/>
        <family val="4"/>
      </rPr>
      <t>Emissions (MMTCH</t>
    </r>
    <r>
      <rPr>
        <b/>
        <vertAlign val="subscript"/>
        <sz val="7"/>
        <color theme="1"/>
        <rFont val="Comic Sans MS"/>
        <family val="4"/>
      </rPr>
      <t>4</t>
    </r>
    <r>
      <rPr>
        <b/>
        <sz val="7"/>
        <color theme="1"/>
        <rFont val="Comic Sans MS"/>
        <family val="4"/>
      </rPr>
      <t>)</t>
    </r>
  </si>
  <si>
    <t>Emissions (MMTCE)</t>
  </si>
  <si>
    <r>
      <rPr>
        <b/>
        <sz val="7"/>
        <color theme="1"/>
        <rFont val="Comic Sans MS"/>
        <family val="4"/>
      </rPr>
      <t>Emissions  (MMTCO</t>
    </r>
    <r>
      <rPr>
        <b/>
        <vertAlign val="subscript"/>
        <sz val="7"/>
        <color theme="1"/>
        <rFont val="Arial"/>
        <family val="2"/>
      </rPr>
      <t>2</t>
    </r>
    <r>
      <rPr>
        <b/>
        <sz val="7"/>
        <color theme="1"/>
        <rFont val="Arial"/>
        <family val="2"/>
      </rPr>
      <t>E)</t>
    </r>
  </si>
  <si>
    <t>Incinerator Emissions</t>
  </si>
  <si>
    <t>Total Urea Applied to Soil</t>
  </si>
  <si>
    <t>(Ton C/Ton urea)</t>
  </si>
  <si>
    <t>(MTCO2E)</t>
  </si>
  <si>
    <t>Incinerator #1</t>
  </si>
  <si>
    <t>Incinerator #4</t>
  </si>
  <si>
    <t>Incinerator #5</t>
  </si>
  <si>
    <t>Incinerator #6</t>
  </si>
  <si>
    <r>
      <rPr>
        <b/>
        <sz val="10"/>
        <color theme="1"/>
        <rFont val="Arial"/>
        <family val="2"/>
      </rPr>
      <t>CO</t>
    </r>
    <r>
      <rPr>
        <b/>
        <vertAlign val="subscript"/>
        <sz val="10"/>
        <color theme="1"/>
        <rFont val="Arial"/>
        <family val="2"/>
      </rPr>
      <t xml:space="preserve">2 </t>
    </r>
    <r>
      <rPr>
        <b/>
        <sz val="10"/>
        <color theme="1"/>
        <rFont val="Arial"/>
        <family val="2"/>
      </rPr>
      <t>Emissions</t>
    </r>
  </si>
  <si>
    <r>
      <rPr>
        <b/>
        <sz val="10"/>
        <color theme="1"/>
        <rFont val="Arial"/>
        <family val="2"/>
      </rPr>
      <t>Natural Gas Usage (ft</t>
    </r>
    <r>
      <rPr>
        <b/>
        <vertAlign val="superscript"/>
        <sz val="10"/>
        <color theme="1"/>
        <rFont val="Arial"/>
        <family val="2"/>
      </rPr>
      <t>3</t>
    </r>
    <r>
      <rPr>
        <b/>
        <sz val="10"/>
        <color theme="1"/>
        <rFont val="Arial"/>
        <family val="2"/>
      </rPr>
      <t>)</t>
    </r>
  </si>
  <si>
    <t>Fort Detrick</t>
  </si>
  <si>
    <t>MSW Processed (tons)</t>
  </si>
  <si>
    <t>Harford Resources Recovery</t>
  </si>
  <si>
    <t>Emissions from Liming of Soils are calculated by summing carbon emissions from the application of both limestone and dolomite to soil. The masses of limestone and dolomite are multiplied by their carbon emission factors, converted to million metric tons carbon dioxide equivalent, and then summed. For more information, please refer to the Agriculture Chapter of the User's Guide.</t>
  </si>
  <si>
    <t>CO2 from Liming of Agric Soils in Maryland</t>
  </si>
  <si>
    <t xml:space="preserve">Montgomery Resource Recovery </t>
  </si>
  <si>
    <t>Total Applied to Soil</t>
  </si>
  <si>
    <t>Total Carbon Dioxide Emissions</t>
  </si>
  <si>
    <t>('000 Metric Tons)</t>
  </si>
  <si>
    <t>(Ton C/Ton limestone)</t>
  </si>
  <si>
    <t>Wheelabrator Baltimore</t>
  </si>
  <si>
    <t>Natural Gas Usage (ft3)</t>
  </si>
  <si>
    <r>
      <rPr>
        <sz val="8"/>
        <color theme="1"/>
        <rFont val="Arial"/>
        <family val="2"/>
      </rPr>
      <t>CO</t>
    </r>
    <r>
      <rPr>
        <vertAlign val="subscript"/>
        <sz val="8"/>
        <color theme="1"/>
        <rFont val="Arial"/>
        <family val="2"/>
      </rPr>
      <t>2</t>
    </r>
    <r>
      <rPr>
        <sz val="8"/>
        <color theme="1"/>
        <rFont val="Arial"/>
        <family val="2"/>
      </rPr>
      <t xml:space="preserve"> (metric tons)</t>
    </r>
  </si>
  <si>
    <r>
      <rPr>
        <sz val="8"/>
        <color theme="1"/>
        <rFont val="Arial"/>
        <family val="2"/>
      </rPr>
      <t>CO</t>
    </r>
    <r>
      <rPr>
        <vertAlign val="subscript"/>
        <sz val="8"/>
        <color theme="1"/>
        <rFont val="Arial"/>
        <family val="2"/>
      </rPr>
      <t>2</t>
    </r>
    <r>
      <rPr>
        <sz val="8"/>
        <color theme="1"/>
        <rFont val="Arial"/>
        <family val="2"/>
      </rPr>
      <t xml:space="preserve"> (MMTCO</t>
    </r>
    <r>
      <rPr>
        <vertAlign val="subscript"/>
        <sz val="8"/>
        <color theme="1"/>
        <rFont val="Arial"/>
        <family val="2"/>
      </rPr>
      <t>2</t>
    </r>
    <r>
      <rPr>
        <sz val="8"/>
        <color theme="1"/>
        <rFont val="Arial"/>
        <family val="2"/>
      </rPr>
      <t>E)</t>
    </r>
  </si>
  <si>
    <t>MSW</t>
  </si>
  <si>
    <t>Default high Heat Value (mmbtu/S tons)</t>
  </si>
  <si>
    <r>
      <rPr>
        <sz val="8"/>
        <color theme="1"/>
        <rFont val="Arial"/>
        <family val="2"/>
      </rPr>
      <t>Default CO</t>
    </r>
    <r>
      <rPr>
        <vertAlign val="subscript"/>
        <sz val="10"/>
        <color theme="1"/>
        <rFont val="Arial"/>
        <family val="2"/>
      </rPr>
      <t>2</t>
    </r>
    <r>
      <rPr>
        <sz val="8"/>
        <color theme="1"/>
        <rFont val="Arial"/>
        <family val="2"/>
      </rPr>
      <t xml:space="preserve"> Emission factor (kg /mmbtu)</t>
    </r>
  </si>
  <si>
    <r>
      <rPr>
        <sz val="8"/>
        <color theme="1"/>
        <rFont val="Arial"/>
        <family val="2"/>
      </rPr>
      <t>CO</t>
    </r>
    <r>
      <rPr>
        <vertAlign val="subscript"/>
        <sz val="10"/>
        <color theme="1"/>
        <rFont val="Arial"/>
        <family val="2"/>
      </rPr>
      <t>2</t>
    </r>
    <r>
      <rPr>
        <sz val="8"/>
        <color theme="1"/>
        <rFont val="Arial"/>
        <family val="2"/>
      </rPr>
      <t xml:space="preserve"> Emissions ( tons/yr)</t>
    </r>
  </si>
  <si>
    <r>
      <rPr>
        <sz val="8"/>
        <color theme="1"/>
        <rFont val="Arial"/>
        <family val="2"/>
      </rPr>
      <t>CO</t>
    </r>
    <r>
      <rPr>
        <vertAlign val="subscript"/>
        <sz val="10"/>
        <color theme="1"/>
        <rFont val="Arial"/>
        <family val="2"/>
      </rPr>
      <t>2</t>
    </r>
    <r>
      <rPr>
        <sz val="8"/>
        <color theme="1"/>
        <rFont val="Arial"/>
        <family val="2"/>
      </rPr>
      <t xml:space="preserve"> Emissions ( metric tons/yr)</t>
    </r>
  </si>
  <si>
    <r>
      <rPr>
        <sz val="8"/>
        <color theme="1"/>
        <rFont val="Arial"/>
        <family val="2"/>
      </rPr>
      <t>CO</t>
    </r>
    <r>
      <rPr>
        <vertAlign val="subscript"/>
        <sz val="10"/>
        <color theme="1"/>
        <rFont val="Arial"/>
        <family val="2"/>
      </rPr>
      <t>2</t>
    </r>
    <r>
      <rPr>
        <sz val="8"/>
        <color theme="1"/>
        <rFont val="Arial"/>
        <family val="2"/>
      </rPr>
      <t xml:space="preserve"> Emissions ( million metric tons/yr)</t>
    </r>
  </si>
  <si>
    <t>Calves</t>
  </si>
  <si>
    <r>
      <rPr>
        <sz val="8"/>
        <color theme="1"/>
        <rFont val="Arial"/>
        <family val="2"/>
      </rPr>
      <t>Default N</t>
    </r>
    <r>
      <rPr>
        <b/>
        <vertAlign val="subscript"/>
        <sz val="10"/>
        <color theme="1"/>
        <rFont val="Arial"/>
        <family val="2"/>
      </rPr>
      <t>2</t>
    </r>
    <r>
      <rPr>
        <sz val="8"/>
        <color theme="1"/>
        <rFont val="Arial"/>
        <family val="2"/>
      </rPr>
      <t>O Emission factor (kg /mmbtu)</t>
    </r>
  </si>
  <si>
    <r>
      <rPr>
        <sz val="8"/>
        <color theme="1"/>
        <rFont val="Arial"/>
        <family val="2"/>
      </rPr>
      <t>N</t>
    </r>
    <r>
      <rPr>
        <vertAlign val="subscript"/>
        <sz val="10"/>
        <color theme="1"/>
        <rFont val="Arial"/>
        <family val="2"/>
      </rPr>
      <t>2</t>
    </r>
    <r>
      <rPr>
        <sz val="8"/>
        <color theme="1"/>
        <rFont val="Arial"/>
        <family val="2"/>
      </rPr>
      <t>O Emissions ( metric tons/yr)</t>
    </r>
  </si>
  <si>
    <r>
      <rPr>
        <sz val="8"/>
        <color theme="1"/>
        <rFont val="Arial"/>
        <family val="2"/>
      </rPr>
      <t>N</t>
    </r>
    <r>
      <rPr>
        <vertAlign val="subscript"/>
        <sz val="10"/>
        <color theme="1"/>
        <rFont val="Arial"/>
        <family val="2"/>
      </rPr>
      <t>2</t>
    </r>
    <r>
      <rPr>
        <sz val="8"/>
        <color theme="1"/>
        <rFont val="Arial"/>
        <family val="2"/>
      </rPr>
      <t>O GWP</t>
    </r>
  </si>
  <si>
    <r>
      <rPr>
        <b/>
        <sz val="10"/>
        <color theme="1"/>
        <rFont val="Arial"/>
        <family val="2"/>
      </rPr>
      <t>N</t>
    </r>
    <r>
      <rPr>
        <b/>
        <vertAlign val="subscript"/>
        <sz val="10"/>
        <color theme="1"/>
        <rFont val="Arial"/>
        <family val="2"/>
      </rPr>
      <t>2</t>
    </r>
    <r>
      <rPr>
        <b/>
        <sz val="10"/>
        <color theme="1"/>
        <rFont val="Arial"/>
        <family val="2"/>
      </rPr>
      <t>O Emissions ( MMTCO</t>
    </r>
    <r>
      <rPr>
        <b/>
        <vertAlign val="subscript"/>
        <sz val="10"/>
        <color theme="1"/>
        <rFont val="Arial"/>
        <family val="2"/>
      </rPr>
      <t>2</t>
    </r>
    <r>
      <rPr>
        <b/>
        <sz val="10"/>
        <color theme="1"/>
        <rFont val="Arial"/>
        <family val="2"/>
      </rPr>
      <t>E)</t>
    </r>
  </si>
  <si>
    <t>Breeding Swine</t>
  </si>
  <si>
    <t>Market Under 60 lbs</t>
  </si>
  <si>
    <t>Market 60-119 lbs</t>
  </si>
  <si>
    <t>Landfill Emissions</t>
  </si>
  <si>
    <t>Market 120-179 lbs</t>
  </si>
  <si>
    <t>Uncontrolled Landfills</t>
  </si>
  <si>
    <t>Market over 180 lbs</t>
  </si>
  <si>
    <t>Flared Landfills</t>
  </si>
  <si>
    <t>LFTGE Landfills</t>
  </si>
  <si>
    <t>Poultry</t>
  </si>
  <si>
    <t>County</t>
  </si>
  <si>
    <t>Facility Name</t>
  </si>
  <si>
    <t>TOTAL Landfill Capacity (Million tons)</t>
  </si>
  <si>
    <t>Layers</t>
  </si>
  <si>
    <t>Correct Capacity (MegaGrams)</t>
  </si>
  <si>
    <t>Average Acceptance / Yearly Disposal (tons/yr)</t>
  </si>
  <si>
    <t>Average Acceptance / Yearly Disposal (Mg/yr)</t>
  </si>
  <si>
    <t>Year Opened</t>
  </si>
  <si>
    <t>Year Closed</t>
  </si>
  <si>
    <r>
      <rPr>
        <b/>
        <sz val="9"/>
        <color theme="1"/>
        <rFont val="Arial"/>
        <family val="2"/>
      </rPr>
      <t>CO</t>
    </r>
    <r>
      <rPr>
        <b/>
        <vertAlign val="subscript"/>
        <sz val="9"/>
        <color theme="1"/>
        <rFont val="Arial"/>
        <family val="2"/>
      </rPr>
      <t>2</t>
    </r>
    <r>
      <rPr>
        <b/>
        <sz val="9"/>
        <color theme="1"/>
        <rFont val="Arial"/>
        <family val="2"/>
      </rPr>
      <t xml:space="preserve"> Generation (short tons) LandGEM 3.0</t>
    </r>
  </si>
  <si>
    <r>
      <rPr>
        <b/>
        <sz val="9"/>
        <color theme="1"/>
        <rFont val="Arial"/>
        <family val="2"/>
      </rPr>
      <t>CH</t>
    </r>
    <r>
      <rPr>
        <b/>
        <vertAlign val="subscript"/>
        <sz val="9"/>
        <color theme="1"/>
        <rFont val="Arial"/>
        <family val="2"/>
      </rPr>
      <t>4</t>
    </r>
    <r>
      <rPr>
        <b/>
        <sz val="9"/>
        <color theme="1"/>
        <rFont val="Arial"/>
        <family val="2"/>
      </rPr>
      <t xml:space="preserve"> Generation (short tons/yr) LandGEM 3.0</t>
    </r>
  </si>
  <si>
    <r>
      <rPr>
        <b/>
        <sz val="9"/>
        <color theme="1"/>
        <rFont val="Arial"/>
        <family val="2"/>
      </rPr>
      <t>CH</t>
    </r>
    <r>
      <rPr>
        <b/>
        <vertAlign val="subscript"/>
        <sz val="9"/>
        <color theme="1"/>
        <rFont val="Arial"/>
        <family val="2"/>
      </rPr>
      <t>4</t>
    </r>
    <r>
      <rPr>
        <b/>
        <sz val="9"/>
        <color theme="1"/>
        <rFont val="Arial"/>
        <family val="2"/>
      </rPr>
      <t xml:space="preserve"> Collection Efficiency (%)</t>
    </r>
  </si>
  <si>
    <t>CH4 Collected (tons)</t>
  </si>
  <si>
    <t>Flare Control Efficeincy (%)</t>
  </si>
  <si>
    <t>Amount of CH4 Flared (tons)</t>
  </si>
  <si>
    <r>
      <rPr>
        <b/>
        <sz val="9"/>
        <color theme="1"/>
        <rFont val="Arial"/>
        <family val="2"/>
      </rPr>
      <t>CO</t>
    </r>
    <r>
      <rPr>
        <b/>
        <vertAlign val="subscript"/>
        <sz val="9"/>
        <color theme="1"/>
        <rFont val="Arial"/>
        <family val="2"/>
      </rPr>
      <t>2</t>
    </r>
    <r>
      <rPr>
        <b/>
        <sz val="9"/>
        <color theme="1"/>
        <rFont val="Arial"/>
        <family val="2"/>
      </rPr>
      <t xml:space="preserve"> Generated from CH4 Combustion, tons</t>
    </r>
  </si>
  <si>
    <r>
      <rPr>
        <b/>
        <sz val="9"/>
        <color theme="1"/>
        <rFont val="Arial"/>
        <family val="2"/>
      </rPr>
      <t>Uncombusted CH</t>
    </r>
    <r>
      <rPr>
        <b/>
        <vertAlign val="subscript"/>
        <sz val="9"/>
        <color theme="1"/>
        <rFont val="Arial"/>
        <family val="2"/>
      </rPr>
      <t xml:space="preserve">4 </t>
    </r>
    <r>
      <rPr>
        <b/>
        <sz val="9"/>
        <color theme="1"/>
        <rFont val="Arial"/>
        <family val="2"/>
      </rPr>
      <t xml:space="preserve"> (Flare Emission, tons)  </t>
    </r>
  </si>
  <si>
    <r>
      <rPr>
        <b/>
        <sz val="9"/>
        <color theme="1"/>
        <rFont val="Arial"/>
        <family val="2"/>
      </rPr>
      <t>Uncollected Landfill  CH</t>
    </r>
    <r>
      <rPr>
        <b/>
        <vertAlign val="subscript"/>
        <sz val="9"/>
        <color theme="1"/>
        <rFont val="Arial"/>
        <family val="2"/>
      </rPr>
      <t>4</t>
    </r>
  </si>
  <si>
    <t>Surface Oxidation %</t>
  </si>
  <si>
    <t>Amount of CH4 Removed By Oxidation (tons)</t>
  </si>
  <si>
    <r>
      <rPr>
        <b/>
        <sz val="9"/>
        <color theme="1"/>
        <rFont val="Arial"/>
        <family val="2"/>
      </rPr>
      <t>Fugitive Landfill CH</t>
    </r>
    <r>
      <rPr>
        <b/>
        <vertAlign val="subscript"/>
        <sz val="9"/>
        <color theme="1"/>
        <rFont val="Arial"/>
        <family val="2"/>
      </rPr>
      <t>4</t>
    </r>
    <r>
      <rPr>
        <b/>
        <sz val="9"/>
        <color theme="1"/>
        <rFont val="Arial"/>
        <family val="2"/>
      </rPr>
      <t xml:space="preserve"> Emission (tons)</t>
    </r>
  </si>
  <si>
    <t xml:space="preserve">Total  CH4 Emission, tons </t>
  </si>
  <si>
    <t xml:space="preserve">Total methane emissions (CO2e) </t>
  </si>
  <si>
    <t>Total GHG Emissions (tons)</t>
  </si>
  <si>
    <t>Allegany</t>
  </si>
  <si>
    <t>Hens &gt; 1 yr</t>
  </si>
  <si>
    <t>Mountainview Municipal Landfill</t>
  </si>
  <si>
    <t>Pullets</t>
  </si>
  <si>
    <t>Chickens</t>
  </si>
  <si>
    <t>Broilers</t>
  </si>
  <si>
    <t>Vale Summit</t>
  </si>
  <si>
    <t>Turkeys</t>
  </si>
  <si>
    <t>Maryland Wastewater Emissions Summary</t>
  </si>
  <si>
    <t>Sheep on Feed</t>
  </si>
  <si>
    <t>Anne Arundel</t>
  </si>
  <si>
    <t>Annapolis</t>
  </si>
  <si>
    <t>Maryland Municipal Wastewater Methane Emissions</t>
  </si>
  <si>
    <r>
      <rPr>
        <b/>
        <sz val="7"/>
        <color theme="1"/>
        <rFont val="Calibri"/>
        <family val="2"/>
      </rPr>
      <t>Per Capita BOD</t>
    </r>
    <r>
      <rPr>
        <b/>
        <vertAlign val="subscript"/>
        <sz val="7"/>
        <color theme="1"/>
        <rFont val="Calibri"/>
        <family val="2"/>
      </rPr>
      <t xml:space="preserve">5
</t>
    </r>
    <r>
      <rPr>
        <b/>
        <sz val="7"/>
        <color theme="1"/>
        <rFont val="Calibri"/>
        <family val="2"/>
      </rPr>
      <t>(kg/day)</t>
    </r>
  </si>
  <si>
    <t>Days per Year
(days)</t>
  </si>
  <si>
    <t>Unit Conversion
(metric tons/kg)</t>
  </si>
  <si>
    <t>Emission Factor
(Gg CH4/Gg BOD5)</t>
  </si>
  <si>
    <r>
      <rPr>
        <b/>
        <sz val="7"/>
        <color theme="1"/>
        <rFont val="Calibri"/>
        <family val="2"/>
      </rPr>
      <t>WW BOD</t>
    </r>
    <r>
      <rPr>
        <b/>
        <vertAlign val="subscript"/>
        <sz val="7"/>
        <color theme="1"/>
        <rFont val="Calibri"/>
        <family val="2"/>
      </rPr>
      <t>5</t>
    </r>
    <r>
      <rPr>
        <b/>
        <sz val="7"/>
        <color theme="1"/>
        <rFont val="Calibri"/>
        <family val="2"/>
      </rPr>
      <t xml:space="preserve"> anaerobically digested
(percent)</t>
    </r>
  </si>
  <si>
    <t>Emissions
(metric tons CH4)</t>
  </si>
  <si>
    <t>Sheep Not on Feed</t>
  </si>
  <si>
    <r>
      <rPr>
        <b/>
        <sz val="7"/>
        <color theme="1"/>
        <rFont val="Calibri"/>
        <family val="2"/>
      </rPr>
      <t>CH</t>
    </r>
    <r>
      <rPr>
        <b/>
        <vertAlign val="subscript"/>
        <sz val="7"/>
        <color theme="1"/>
        <rFont val="Calibri"/>
        <family val="2"/>
      </rPr>
      <t xml:space="preserve">4 </t>
    </r>
    <r>
      <rPr>
        <b/>
        <sz val="7"/>
        <color theme="1"/>
        <rFont val="Calibri"/>
        <family val="2"/>
      </rPr>
      <t>GWP
(CO2 Eq.)</t>
    </r>
  </si>
  <si>
    <t>Unit Conversion
(MMT/MT)</t>
  </si>
  <si>
    <r>
      <rPr>
        <b/>
        <sz val="7"/>
        <color theme="1"/>
        <rFont val="Calibri"/>
        <family val="2"/>
      </rPr>
      <t>C/CO</t>
    </r>
    <r>
      <rPr>
        <b/>
        <vertAlign val="subscript"/>
        <sz val="7"/>
        <color theme="1"/>
        <rFont val="Calibri"/>
        <family val="2"/>
      </rPr>
      <t>2</t>
    </r>
  </si>
  <si>
    <t>Fort G. Meade Municipal Landfill</t>
  </si>
  <si>
    <t>Emissions
(MMTCO2E)</t>
  </si>
  <si>
    <t>Millersville Municipal Landfill</t>
  </si>
  <si>
    <t>Sudley Road</t>
  </si>
  <si>
    <t>Solley Road</t>
  </si>
  <si>
    <t>Residential Open Burning - Leaves, Brush, MSW</t>
  </si>
  <si>
    <t>Maryland Direct Nitrous Oxide Emissions from Municipal Wastewater Treatment</t>
  </si>
  <si>
    <t>Fraction of Population not on Septic</t>
  </si>
  <si>
    <t>Direct N2O Emissions from Wastewater Treatment
 (g N2O/person/year)</t>
  </si>
  <si>
    <t>Unit Conversion
(g/metric ton)</t>
  </si>
  <si>
    <t>Emissions
(Metric Tons N2O)</t>
  </si>
  <si>
    <r>
      <rPr>
        <b/>
        <sz val="7"/>
        <color theme="1"/>
        <rFont val="Calibri"/>
        <family val="2"/>
      </rPr>
      <t>N</t>
    </r>
    <r>
      <rPr>
        <b/>
        <vertAlign val="subscript"/>
        <sz val="7"/>
        <color theme="1"/>
        <rFont val="Calibri"/>
        <family val="2"/>
      </rPr>
      <t>2</t>
    </r>
    <r>
      <rPr>
        <b/>
        <sz val="7"/>
        <color theme="1"/>
        <rFont val="Calibri"/>
        <family val="2"/>
      </rPr>
      <t>O GWP
(CO2 Eq.)</t>
    </r>
  </si>
  <si>
    <t>Glen Burnie</t>
  </si>
  <si>
    <t xml:space="preserve">Unit Conversion
(MMT/MT)
</t>
  </si>
  <si>
    <r>
      <rPr>
        <b/>
        <sz val="11"/>
        <color theme="1"/>
        <rFont val="Calibri"/>
        <family val="2"/>
      </rPr>
      <t>(MMTCO</t>
    </r>
    <r>
      <rPr>
        <b/>
        <vertAlign val="subscript"/>
        <sz val="11"/>
        <color theme="1"/>
        <rFont val="Calibri"/>
        <family val="2"/>
      </rPr>
      <t>2</t>
    </r>
    <r>
      <rPr>
        <b/>
        <sz val="11"/>
        <color theme="1"/>
        <rFont val="Calibri"/>
        <family val="2"/>
      </rPr>
      <t>E)</t>
    </r>
  </si>
  <si>
    <r>
      <rPr>
        <b/>
        <sz val="7"/>
        <color theme="1"/>
        <rFont val="Calibri"/>
        <family val="2"/>
      </rPr>
      <t>C/CO</t>
    </r>
    <r>
      <rPr>
        <b/>
        <vertAlign val="subscript"/>
        <sz val="7"/>
        <color theme="1"/>
        <rFont val="Calibri"/>
        <family val="2"/>
      </rPr>
      <t>2</t>
    </r>
  </si>
  <si>
    <t>Manure Management N20 Emissions</t>
  </si>
  <si>
    <t>Total K-Nitrogen Excreted
(kg)</t>
  </si>
  <si>
    <t>Unvolatilized N from Manure in Anaerobic Lagoons and Liquid Systems
(kg)</t>
  </si>
  <si>
    <t>Unvolatilized N from Manure in Solid Storage, Drylot &amp; Other Systems
(kg)</t>
  </si>
  <si>
    <t>Baltimore City</t>
  </si>
  <si>
    <t>Quarantine Road Municipal Landfill</t>
  </si>
  <si>
    <t>Emissions from Anaerobic Lagoons and Liquid Systems
(kg N2O-N)</t>
  </si>
  <si>
    <t>Emissions from Solid Storage, Drylot, &amp; Other Systems
(kg N2O-N)</t>
  </si>
  <si>
    <t>Open Burning</t>
  </si>
  <si>
    <r>
      <rPr>
        <b/>
        <sz val="7"/>
        <color theme="1"/>
        <rFont val="Arial"/>
        <family val="2"/>
      </rPr>
      <t>Total N</t>
    </r>
    <r>
      <rPr>
        <b/>
        <vertAlign val="subscript"/>
        <sz val="7"/>
        <color theme="1"/>
        <rFont val="Arial"/>
        <family val="2"/>
      </rPr>
      <t>2</t>
    </r>
    <r>
      <rPr>
        <b/>
        <sz val="7"/>
        <color theme="1"/>
        <rFont val="Arial"/>
        <family val="2"/>
      </rPr>
      <t>O Emissions
(kg N</t>
    </r>
    <r>
      <rPr>
        <b/>
        <vertAlign val="subscript"/>
        <sz val="7"/>
        <color theme="1"/>
        <rFont val="Arial"/>
        <family val="2"/>
      </rPr>
      <t>2</t>
    </r>
    <r>
      <rPr>
        <b/>
        <sz val="7"/>
        <color theme="1"/>
        <rFont val="Arial"/>
        <family val="2"/>
      </rPr>
      <t>O)</t>
    </r>
  </si>
  <si>
    <r>
      <rPr>
        <b/>
        <sz val="7"/>
        <color theme="1"/>
        <rFont val="Arial"/>
        <family val="2"/>
      </rPr>
      <t>Emissions
(MMTCO</t>
    </r>
    <r>
      <rPr>
        <b/>
        <vertAlign val="subscript"/>
        <sz val="7"/>
        <color theme="1"/>
        <rFont val="Arial"/>
        <family val="2"/>
      </rPr>
      <t>2</t>
    </r>
    <r>
      <rPr>
        <b/>
        <sz val="7"/>
        <color theme="1"/>
        <rFont val="Arial"/>
        <family val="2"/>
      </rPr>
      <t>E)</t>
    </r>
  </si>
  <si>
    <t>Dairy</t>
  </si>
  <si>
    <t>Baltimore County</t>
  </si>
  <si>
    <t>Eastern Municipal Landfill</t>
  </si>
  <si>
    <t>Maryland Effulent Nitrous Oxide Emissions from Municipal Wastewater Treatment</t>
  </si>
  <si>
    <t>Protein
(kg/ person/ year)</t>
  </si>
  <si>
    <r>
      <rPr>
        <b/>
        <sz val="7"/>
        <color theme="1"/>
        <rFont val="Comic Sans MS"/>
        <family val="4"/>
      </rPr>
      <t>Frac</t>
    </r>
    <r>
      <rPr>
        <b/>
        <vertAlign val="subscript"/>
        <sz val="7"/>
        <color theme="1"/>
        <rFont val="Comic Sans MS"/>
        <family val="4"/>
      </rPr>
      <t xml:space="preserve">NPR 
</t>
    </r>
    <r>
      <rPr>
        <b/>
        <sz val="7"/>
        <color theme="1"/>
        <rFont val="Comic Sans MS"/>
        <family val="4"/>
      </rPr>
      <t xml:space="preserve">(kg N/kg protein) </t>
    </r>
  </si>
  <si>
    <t>Fraction Non-Consumption N</t>
  </si>
  <si>
    <t>N in Domestic Wastewater
(metric tons)</t>
  </si>
  <si>
    <t>Direct N Emissions from Domestic Wastewater
(metric tons)</t>
  </si>
  <si>
    <t>Biosolids Available N
(metric tons)</t>
  </si>
  <si>
    <t>Percentage of Biosolids Used as Fertilizer</t>
  </si>
  <si>
    <t xml:space="preserve">Emission Factor
(kg N2O-N/ kg sewage N-produced) </t>
  </si>
  <si>
    <r>
      <rPr>
        <b/>
        <sz val="7"/>
        <color theme="1"/>
        <rFont val="Comic Sans MS"/>
        <family val="4"/>
      </rPr>
      <t>N</t>
    </r>
    <r>
      <rPr>
        <b/>
        <vertAlign val="subscript"/>
        <sz val="7"/>
        <color theme="1"/>
        <rFont val="Comic Sans MS"/>
        <family val="4"/>
      </rPr>
      <t>2</t>
    </r>
    <r>
      <rPr>
        <b/>
        <sz val="7"/>
        <color theme="1"/>
        <rFont val="Comic Sans MS"/>
        <family val="4"/>
      </rPr>
      <t>O/N</t>
    </r>
    <r>
      <rPr>
        <b/>
        <vertAlign val="subscript"/>
        <sz val="7"/>
        <color theme="1"/>
        <rFont val="Comic Sans MS"/>
        <family val="4"/>
      </rPr>
      <t>2</t>
    </r>
  </si>
  <si>
    <t>Emissions 
(metric tons N2O)</t>
  </si>
  <si>
    <r>
      <rPr>
        <b/>
        <sz val="7"/>
        <color theme="1"/>
        <rFont val="Comic Sans MS"/>
        <family val="4"/>
      </rPr>
      <t>N</t>
    </r>
    <r>
      <rPr>
        <b/>
        <vertAlign val="subscript"/>
        <sz val="7"/>
        <color theme="1"/>
        <rFont val="Comic Sans MS"/>
        <family val="4"/>
      </rPr>
      <t>2</t>
    </r>
    <r>
      <rPr>
        <b/>
        <sz val="7"/>
        <color theme="1"/>
        <rFont val="Comic Sans MS"/>
        <family val="4"/>
      </rPr>
      <t>O GWP
(CO2 Eq.)</t>
    </r>
  </si>
  <si>
    <r>
      <rPr>
        <b/>
        <sz val="7"/>
        <color theme="1"/>
        <rFont val="Comic Sans MS"/>
        <family val="4"/>
      </rPr>
      <t>C/CO</t>
    </r>
    <r>
      <rPr>
        <b/>
        <vertAlign val="subscript"/>
        <sz val="7"/>
        <color theme="1"/>
        <rFont val="Comic Sans MS"/>
        <family val="4"/>
      </rPr>
      <t>2</t>
    </r>
  </si>
  <si>
    <t>Emissions from Biosolids
(MMTCE)</t>
  </si>
  <si>
    <t>Direct Emissions
(MMTCE)</t>
  </si>
  <si>
    <t>Total Emissions
(MMTCE)</t>
  </si>
  <si>
    <t>Emission
(MMTCO2E)</t>
  </si>
  <si>
    <t xml:space="preserve"> </t>
  </si>
  <si>
    <t>Norris Farm</t>
  </si>
  <si>
    <t>(MMT/MT)</t>
  </si>
  <si>
    <t>Calvert</t>
  </si>
  <si>
    <t>Appeal Municipal Landfill</t>
  </si>
  <si>
    <t>Barstow</t>
  </si>
  <si>
    <t>Caroline</t>
  </si>
  <si>
    <t>Midshore I Regional Landfill</t>
  </si>
  <si>
    <r>
      <rPr>
        <b/>
        <sz val="11"/>
        <color theme="1"/>
        <rFont val="Comic Sans MS"/>
        <family val="4"/>
      </rPr>
      <t>Maryland Industrial Wastewater Methane Emissions ( CH</t>
    </r>
    <r>
      <rPr>
        <b/>
        <vertAlign val="subscript"/>
        <sz val="11"/>
        <color rgb="FF000000"/>
        <rFont val="Comic Sans MS"/>
        <family val="4"/>
      </rPr>
      <t xml:space="preserve">4 </t>
    </r>
    <r>
      <rPr>
        <b/>
        <sz val="11"/>
        <color rgb="FF000000"/>
        <rFont val="Comic Sans MS"/>
        <family val="4"/>
      </rPr>
      <t>) - Red Meat Processing</t>
    </r>
  </si>
  <si>
    <t>Carroll</t>
  </si>
  <si>
    <t>Hoods Mill</t>
  </si>
  <si>
    <t>Production Processed</t>
  </si>
  <si>
    <t xml:space="preserve">WW Outflow </t>
  </si>
  <si>
    <t>Unit Conversion</t>
  </si>
  <si>
    <t xml:space="preserve">COD </t>
  </si>
  <si>
    <t>COD Degraded</t>
  </si>
  <si>
    <r>
      <rPr>
        <b/>
        <sz val="10"/>
        <color theme="1"/>
        <rFont val="Comic Sans MS"/>
        <family val="4"/>
      </rPr>
      <t>CH</t>
    </r>
    <r>
      <rPr>
        <b/>
        <vertAlign val="subscript"/>
        <sz val="10"/>
        <color theme="1"/>
        <rFont val="Comic Sans MS"/>
        <family val="4"/>
      </rPr>
      <t>4</t>
    </r>
    <r>
      <rPr>
        <b/>
        <sz val="10"/>
        <color theme="1"/>
        <rFont val="Comic Sans MS"/>
        <family val="4"/>
      </rPr>
      <t xml:space="preserve"> GWP</t>
    </r>
  </si>
  <si>
    <r>
      <rPr>
        <b/>
        <sz val="10"/>
        <color theme="1"/>
        <rFont val="Comic Sans MS"/>
        <family val="4"/>
      </rPr>
      <t>C/CO</t>
    </r>
    <r>
      <rPr>
        <b/>
        <vertAlign val="subscript"/>
        <sz val="10"/>
        <color theme="1"/>
        <rFont val="Comic Sans MS"/>
        <family val="4"/>
      </rPr>
      <t>2</t>
    </r>
  </si>
  <si>
    <t>Northern Municpal Landfill</t>
  </si>
  <si>
    <r>
      <rPr>
        <sz val="10"/>
        <color theme="1"/>
        <rFont val="Comic Sans MS"/>
        <family val="4"/>
      </rPr>
      <t>(m</t>
    </r>
    <r>
      <rPr>
        <vertAlign val="superscript"/>
        <sz val="10"/>
        <color theme="1"/>
        <rFont val="Comic Sans MS"/>
        <family val="4"/>
      </rPr>
      <t>3</t>
    </r>
    <r>
      <rPr>
        <sz val="10"/>
        <color theme="1"/>
        <rFont val="Comic Sans MS"/>
        <family val="4"/>
      </rPr>
      <t>/metric ton)</t>
    </r>
  </si>
  <si>
    <r>
      <rPr>
        <sz val="10"/>
        <color theme="1"/>
        <rFont val="Comic Sans MS"/>
        <family val="4"/>
      </rPr>
      <t>(l/m</t>
    </r>
    <r>
      <rPr>
        <vertAlign val="superscript"/>
        <sz val="10"/>
        <color theme="1"/>
        <rFont val="Comic Sans MS"/>
        <family val="4"/>
      </rPr>
      <t>3</t>
    </r>
    <r>
      <rPr>
        <sz val="10"/>
        <color theme="1"/>
        <rFont val="Comic Sans MS"/>
        <family val="4"/>
      </rPr>
      <t>)</t>
    </r>
  </si>
  <si>
    <t>(g COD/l)</t>
  </si>
  <si>
    <r>
      <rPr>
        <sz val="10"/>
        <color theme="1"/>
        <rFont val="Comic Sans MS"/>
        <family val="4"/>
      </rPr>
      <t>(g CH</t>
    </r>
    <r>
      <rPr>
        <vertAlign val="subscript"/>
        <sz val="10"/>
        <color theme="1"/>
        <rFont val="Comic Sans MS"/>
        <family val="4"/>
      </rPr>
      <t>4</t>
    </r>
    <r>
      <rPr>
        <sz val="10"/>
        <color theme="1"/>
        <rFont val="Comic Sans MS"/>
        <family val="4"/>
      </rPr>
      <t>/g COD)</t>
    </r>
  </si>
  <si>
    <t>(percent)</t>
  </si>
  <si>
    <r>
      <rPr>
        <sz val="10"/>
        <color theme="1"/>
        <rFont val="Comic Sans MS"/>
        <family val="4"/>
      </rPr>
      <t>(g CH</t>
    </r>
    <r>
      <rPr>
        <vertAlign val="subscript"/>
        <sz val="10"/>
        <color theme="1"/>
        <rFont val="Comic Sans MS"/>
        <family val="4"/>
      </rPr>
      <t>4</t>
    </r>
    <r>
      <rPr>
        <sz val="10"/>
        <color theme="1"/>
        <rFont val="Comic Sans MS"/>
        <family val="4"/>
      </rPr>
      <t>)</t>
    </r>
  </si>
  <si>
    <t>(g/Tg)</t>
  </si>
  <si>
    <r>
      <rPr>
        <sz val="10"/>
        <color theme="1"/>
        <rFont val="Comic Sans MS"/>
        <family val="4"/>
      </rPr>
      <t>(Tg or MMT CH</t>
    </r>
    <r>
      <rPr>
        <vertAlign val="subscript"/>
        <sz val="10"/>
        <color theme="1"/>
        <rFont val="Comic Sans MS"/>
        <family val="4"/>
      </rPr>
      <t>4</t>
    </r>
    <r>
      <rPr>
        <sz val="10"/>
        <color theme="1"/>
        <rFont val="Comic Sans MS"/>
        <family val="4"/>
      </rPr>
      <t>)</t>
    </r>
  </si>
  <si>
    <r>
      <rPr>
        <sz val="10"/>
        <color theme="1"/>
        <rFont val="Comic Sans MS"/>
        <family val="4"/>
      </rPr>
      <t>(CO</t>
    </r>
    <r>
      <rPr>
        <vertAlign val="subscript"/>
        <sz val="10"/>
        <color theme="1"/>
        <rFont val="Comic Sans MS"/>
        <family val="4"/>
      </rPr>
      <t>2</t>
    </r>
    <r>
      <rPr>
        <sz val="10"/>
        <color theme="1"/>
        <rFont val="Comic Sans MS"/>
        <family val="4"/>
      </rPr>
      <t xml:space="preserve"> Eq.)</t>
    </r>
  </si>
  <si>
    <r>
      <rPr>
        <sz val="10"/>
        <color theme="1"/>
        <rFont val="Comic Sans MS"/>
        <family val="4"/>
      </rPr>
      <t>(MMTCO</t>
    </r>
    <r>
      <rPr>
        <vertAlign val="subscript"/>
        <sz val="10"/>
        <color theme="1"/>
        <rFont val="Comic Sans MS"/>
        <family val="4"/>
      </rPr>
      <t>2</t>
    </r>
    <r>
      <rPr>
        <sz val="10"/>
        <color theme="1"/>
        <rFont val="Comic Sans MS"/>
        <family val="4"/>
      </rPr>
      <t>E)</t>
    </r>
  </si>
  <si>
    <t>Cecil</t>
  </si>
  <si>
    <t>Cecil County Central Landfill - Hog Hill</t>
  </si>
  <si>
    <t>Charles</t>
  </si>
  <si>
    <t>Charles County Municipal LF #2</t>
  </si>
  <si>
    <t>Pisgah</t>
  </si>
  <si>
    <t xml:space="preserve">Dorchester </t>
  </si>
  <si>
    <t>Beulah HE #1</t>
  </si>
  <si>
    <r>
      <rPr>
        <b/>
        <sz val="11"/>
        <color theme="1"/>
        <rFont val="Comic Sans MS"/>
        <family val="4"/>
      </rPr>
      <t>Maryland Industrial Wastewater Methane Emissions ( CH</t>
    </r>
    <r>
      <rPr>
        <b/>
        <vertAlign val="subscript"/>
        <sz val="11"/>
        <color rgb="FF000000"/>
        <rFont val="Comic Sans MS"/>
        <family val="4"/>
      </rPr>
      <t xml:space="preserve">4 </t>
    </r>
    <r>
      <rPr>
        <b/>
        <sz val="11"/>
        <color rgb="FF000000"/>
        <rFont val="Comic Sans MS"/>
        <family val="4"/>
      </rPr>
      <t>) - Poultry Processing</t>
    </r>
  </si>
  <si>
    <t>Beulah HE #2</t>
  </si>
  <si>
    <r>
      <rPr>
        <b/>
        <sz val="10"/>
        <color theme="1"/>
        <rFont val="Comic Sans MS"/>
        <family val="4"/>
      </rPr>
      <t>CH</t>
    </r>
    <r>
      <rPr>
        <b/>
        <vertAlign val="subscript"/>
        <sz val="10"/>
        <color theme="1"/>
        <rFont val="Comic Sans MS"/>
        <family val="4"/>
      </rPr>
      <t>4</t>
    </r>
    <r>
      <rPr>
        <b/>
        <sz val="10"/>
        <color theme="1"/>
        <rFont val="Comic Sans MS"/>
        <family val="4"/>
      </rPr>
      <t xml:space="preserve"> GWP</t>
    </r>
  </si>
  <si>
    <r>
      <rPr>
        <b/>
        <sz val="10"/>
        <color theme="1"/>
        <rFont val="Comic Sans MS"/>
        <family val="4"/>
      </rPr>
      <t>C/CO</t>
    </r>
    <r>
      <rPr>
        <b/>
        <vertAlign val="subscript"/>
        <sz val="10"/>
        <color theme="1"/>
        <rFont val="Comic Sans MS"/>
        <family val="4"/>
      </rPr>
      <t>2</t>
    </r>
  </si>
  <si>
    <r>
      <rPr>
        <sz val="10"/>
        <color theme="1"/>
        <rFont val="Comic Sans MS"/>
        <family val="4"/>
      </rPr>
      <t>(m</t>
    </r>
    <r>
      <rPr>
        <vertAlign val="superscript"/>
        <sz val="10"/>
        <color theme="1"/>
        <rFont val="Comic Sans MS"/>
        <family val="4"/>
      </rPr>
      <t>3</t>
    </r>
    <r>
      <rPr>
        <sz val="10"/>
        <color theme="1"/>
        <rFont val="Comic Sans MS"/>
        <family val="4"/>
      </rPr>
      <t>/metric ton)</t>
    </r>
  </si>
  <si>
    <r>
      <rPr>
        <sz val="10"/>
        <color theme="1"/>
        <rFont val="Comic Sans MS"/>
        <family val="4"/>
      </rPr>
      <t>(l/m</t>
    </r>
    <r>
      <rPr>
        <vertAlign val="superscript"/>
        <sz val="10"/>
        <color theme="1"/>
        <rFont val="Comic Sans MS"/>
        <family val="4"/>
      </rPr>
      <t>3</t>
    </r>
    <r>
      <rPr>
        <sz val="10"/>
        <color theme="1"/>
        <rFont val="Comic Sans MS"/>
        <family val="4"/>
      </rPr>
      <t>)</t>
    </r>
  </si>
  <si>
    <r>
      <rPr>
        <sz val="10"/>
        <color theme="1"/>
        <rFont val="Comic Sans MS"/>
        <family val="4"/>
      </rPr>
      <t>(g CH</t>
    </r>
    <r>
      <rPr>
        <vertAlign val="subscript"/>
        <sz val="10"/>
        <color theme="1"/>
        <rFont val="Comic Sans MS"/>
        <family val="4"/>
      </rPr>
      <t>4</t>
    </r>
    <r>
      <rPr>
        <sz val="10"/>
        <color theme="1"/>
        <rFont val="Comic Sans MS"/>
        <family val="4"/>
      </rPr>
      <t>/g COD)</t>
    </r>
  </si>
  <si>
    <r>
      <rPr>
        <sz val="10"/>
        <color theme="1"/>
        <rFont val="Comic Sans MS"/>
        <family val="4"/>
      </rPr>
      <t>(g CH</t>
    </r>
    <r>
      <rPr>
        <vertAlign val="subscript"/>
        <sz val="10"/>
        <color theme="1"/>
        <rFont val="Comic Sans MS"/>
        <family val="4"/>
      </rPr>
      <t>4</t>
    </r>
    <r>
      <rPr>
        <sz val="10"/>
        <color theme="1"/>
        <rFont val="Comic Sans MS"/>
        <family val="4"/>
      </rPr>
      <t>)</t>
    </r>
  </si>
  <si>
    <r>
      <rPr>
        <sz val="10"/>
        <color theme="1"/>
        <rFont val="Comic Sans MS"/>
        <family val="4"/>
      </rPr>
      <t>(Tg or MMT CH</t>
    </r>
    <r>
      <rPr>
        <vertAlign val="subscript"/>
        <sz val="10"/>
        <color theme="1"/>
        <rFont val="Comic Sans MS"/>
        <family val="4"/>
      </rPr>
      <t>4</t>
    </r>
    <r>
      <rPr>
        <sz val="10"/>
        <color theme="1"/>
        <rFont val="Comic Sans MS"/>
        <family val="4"/>
      </rPr>
      <t>)</t>
    </r>
  </si>
  <si>
    <r>
      <rPr>
        <sz val="10"/>
        <color theme="1"/>
        <rFont val="Comic Sans MS"/>
        <family val="4"/>
      </rPr>
      <t>(CO</t>
    </r>
    <r>
      <rPr>
        <vertAlign val="subscript"/>
        <sz val="10"/>
        <color theme="1"/>
        <rFont val="Comic Sans MS"/>
        <family val="4"/>
      </rPr>
      <t>2</t>
    </r>
    <r>
      <rPr>
        <sz val="10"/>
        <color theme="1"/>
        <rFont val="Comic Sans MS"/>
        <family val="4"/>
      </rPr>
      <t xml:space="preserve"> Eq.)</t>
    </r>
  </si>
  <si>
    <r>
      <rPr>
        <sz val="10"/>
        <color theme="1"/>
        <rFont val="Comic Sans MS"/>
        <family val="4"/>
      </rPr>
      <t>(MMTCO</t>
    </r>
    <r>
      <rPr>
        <vertAlign val="subscript"/>
        <sz val="10"/>
        <color theme="1"/>
        <rFont val="Comic Sans MS"/>
        <family val="4"/>
      </rPr>
      <t>2</t>
    </r>
    <r>
      <rPr>
        <sz val="10"/>
        <color theme="1"/>
        <rFont val="Comic Sans MS"/>
        <family val="4"/>
      </rPr>
      <t>E)</t>
    </r>
  </si>
  <si>
    <t>Frederick</t>
  </si>
  <si>
    <t>Fort Detrick Municipal Landfill</t>
  </si>
  <si>
    <t>Land Use, Land-Use Change, and Forestry Emissions and Sequestration</t>
  </si>
  <si>
    <t>Reich's Ford A Municpal Landfill</t>
  </si>
  <si>
    <t>Ag Soils- Plant Residues &amp; Legumes in Maryland</t>
  </si>
  <si>
    <t>Legumes and Crop Residue Calculations</t>
  </si>
  <si>
    <t>Reich's Ford Site B Municipal Landfill</t>
  </si>
  <si>
    <r>
      <rPr>
        <b/>
        <sz val="11"/>
        <color theme="1"/>
        <rFont val="Comic Sans MS"/>
        <family val="4"/>
      </rPr>
      <t>Maryland Industrial Wastewater Methane Emissions ( CH</t>
    </r>
    <r>
      <rPr>
        <b/>
        <vertAlign val="subscript"/>
        <sz val="11"/>
        <color rgb="FF000000"/>
        <rFont val="Comic Sans MS"/>
        <family val="4"/>
      </rPr>
      <t xml:space="preserve">4 </t>
    </r>
    <r>
      <rPr>
        <b/>
        <sz val="11"/>
        <color rgb="FF000000"/>
        <rFont val="Comic Sans MS"/>
        <family val="4"/>
      </rPr>
      <t>) - Pulp and Paper Processing</t>
    </r>
  </si>
  <si>
    <t xml:space="preserve">Crop Production </t>
  </si>
  <si>
    <t>metric tons/bushel:</t>
  </si>
  <si>
    <t>Residue: Crop Mass Ratio</t>
  </si>
  <si>
    <t>Crop Production (metric tons)</t>
  </si>
  <si>
    <t>Residue Dry Matter Fraction</t>
  </si>
  <si>
    <t>Garrett</t>
  </si>
  <si>
    <t xml:space="preserve">Fraction Residue Applied </t>
  </si>
  <si>
    <t>Garrett County SWD&amp;RF  or  Del Signiore</t>
  </si>
  <si>
    <r>
      <rPr>
        <b/>
        <sz val="11"/>
        <color rgb="FF1155CC"/>
        <rFont val="Calibri"/>
        <family val="2"/>
      </rPr>
      <t xml:space="preserve">(A) NASA-CMS/UMD Forest Carbon Monitoring </t>
    </r>
    <r>
      <rPr>
        <sz val="11"/>
        <color rgb="FF1155CC"/>
        <rFont val="Calibri"/>
        <family val="2"/>
      </rPr>
      <t>(for above ground biomass)</t>
    </r>
  </si>
  <si>
    <t>Nitrogen Content of Residue</t>
  </si>
  <si>
    <t>BOD Degraded</t>
  </si>
  <si>
    <t>Nitrogen Returned to Soil</t>
  </si>
  <si>
    <t>N content of Aboveground Biomass for N fixing</t>
  </si>
  <si>
    <t>TA</t>
  </si>
  <si>
    <t>N-Fixed by Crops (kg)</t>
  </si>
  <si>
    <t>EF Direct</t>
  </si>
  <si>
    <r>
      <rPr>
        <b/>
        <sz val="10"/>
        <color theme="1"/>
        <rFont val="Comic Sans MS"/>
        <family val="4"/>
      </rPr>
      <t>CH</t>
    </r>
    <r>
      <rPr>
        <b/>
        <vertAlign val="subscript"/>
        <sz val="10"/>
        <color theme="1"/>
        <rFont val="Comic Sans MS"/>
        <family val="4"/>
      </rPr>
      <t>4</t>
    </r>
    <r>
      <rPr>
        <b/>
        <sz val="10"/>
        <color theme="1"/>
        <rFont val="Comic Sans MS"/>
        <family val="4"/>
      </rPr>
      <t xml:space="preserve"> GWP</t>
    </r>
  </si>
  <si>
    <r>
      <rPr>
        <b/>
        <sz val="8"/>
        <color theme="1"/>
        <rFont val="Calibri"/>
        <family val="2"/>
      </rPr>
      <t>Direct N</t>
    </r>
    <r>
      <rPr>
        <b/>
        <vertAlign val="subscript"/>
        <sz val="8"/>
        <color theme="1"/>
        <rFont val="Calibri"/>
        <family val="2"/>
      </rPr>
      <t>2</t>
    </r>
    <r>
      <rPr>
        <b/>
        <sz val="8"/>
        <color theme="1"/>
        <rFont val="Calibri"/>
        <family val="2"/>
      </rPr>
      <t>O Emissions (metric tons N</t>
    </r>
    <r>
      <rPr>
        <b/>
        <vertAlign val="subscript"/>
        <sz val="8"/>
        <color theme="1"/>
        <rFont val="Calibri"/>
        <family val="2"/>
      </rPr>
      <t>2</t>
    </r>
    <r>
      <rPr>
        <b/>
        <sz val="8"/>
        <color theme="1"/>
        <rFont val="Calibri"/>
        <family val="2"/>
      </rPr>
      <t>O)</t>
    </r>
  </si>
  <si>
    <r>
      <rPr>
        <b/>
        <sz val="10"/>
        <color theme="1"/>
        <rFont val="Comic Sans MS"/>
        <family val="4"/>
      </rPr>
      <t>C/CO</t>
    </r>
    <r>
      <rPr>
        <b/>
        <vertAlign val="subscript"/>
        <sz val="10"/>
        <color theme="1"/>
        <rFont val="Comic Sans MS"/>
        <family val="4"/>
      </rPr>
      <t>2</t>
    </r>
  </si>
  <si>
    <r>
      <rPr>
        <b/>
        <sz val="8"/>
        <color theme="1"/>
        <rFont val="Calibri"/>
        <family val="2"/>
      </rPr>
      <t>Direct Emissions</t>
    </r>
    <r>
      <rPr>
        <sz val="8"/>
        <color theme="1"/>
        <rFont val="Calibri"/>
        <family val="2"/>
      </rPr>
      <t xml:space="preserve"> (MMTCE)</t>
    </r>
  </si>
  <si>
    <r>
      <rPr>
        <b/>
        <sz val="8"/>
        <color theme="1"/>
        <rFont val="Calibri"/>
        <family val="2"/>
      </rPr>
      <t>Direct Emissions  (MMTCO</t>
    </r>
    <r>
      <rPr>
        <b/>
        <vertAlign val="subscript"/>
        <sz val="8"/>
        <color theme="1"/>
        <rFont val="Calibri"/>
        <family val="2"/>
      </rPr>
      <t>2</t>
    </r>
    <r>
      <rPr>
        <b/>
        <sz val="8"/>
        <color theme="1"/>
        <rFont val="Calibri"/>
        <family val="2"/>
      </rPr>
      <t>E)</t>
    </r>
  </si>
  <si>
    <t>AGB stocks (Tg C)</t>
  </si>
  <si>
    <t>Woodpulp</t>
  </si>
  <si>
    <t>Net AGB flux 
(Tg C/yr)</t>
  </si>
  <si>
    <t>AGB Flux from existing trees 
(Tg C/yr)</t>
  </si>
  <si>
    <t>AGB Flux from Forest to Non-forest conversion 
(Tg C/yr)</t>
  </si>
  <si>
    <t>AGB Flux from Non-forest to Forest conversion 
(Tg C/yr)</t>
  </si>
  <si>
    <t>Paper &amp; Paperboard</t>
  </si>
  <si>
    <t xml:space="preserve">Alfalfa  </t>
  </si>
  <si>
    <t>'000 tons</t>
  </si>
  <si>
    <t>Round Glade</t>
  </si>
  <si>
    <r>
      <rPr>
        <sz val="10"/>
        <color theme="1"/>
        <rFont val="Comic Sans MS"/>
        <family val="4"/>
      </rPr>
      <t>(m</t>
    </r>
    <r>
      <rPr>
        <vertAlign val="superscript"/>
        <sz val="10"/>
        <color theme="1"/>
        <rFont val="Comic Sans MS"/>
        <family val="4"/>
      </rPr>
      <t>3</t>
    </r>
    <r>
      <rPr>
        <sz val="10"/>
        <color theme="1"/>
        <rFont val="Comic Sans MS"/>
        <family val="4"/>
      </rPr>
      <t>/metric ton)</t>
    </r>
  </si>
  <si>
    <r>
      <rPr>
        <sz val="10"/>
        <color theme="1"/>
        <rFont val="Comic Sans MS"/>
        <family val="4"/>
      </rPr>
      <t>(l/m</t>
    </r>
    <r>
      <rPr>
        <vertAlign val="superscript"/>
        <sz val="10"/>
        <color theme="1"/>
        <rFont val="Comic Sans MS"/>
        <family val="4"/>
      </rPr>
      <t>3</t>
    </r>
    <r>
      <rPr>
        <sz val="10"/>
        <color theme="1"/>
        <rFont val="Comic Sans MS"/>
        <family val="4"/>
      </rPr>
      <t>)</t>
    </r>
  </si>
  <si>
    <t>(g BOD/l)</t>
  </si>
  <si>
    <r>
      <rPr>
        <sz val="8"/>
        <color theme="1"/>
        <rFont val="Comic Sans MS"/>
        <family val="4"/>
      </rPr>
      <t>(g CH</t>
    </r>
    <r>
      <rPr>
        <vertAlign val="subscript"/>
        <sz val="10"/>
        <color theme="1"/>
        <rFont val="Comic Sans MS"/>
        <family val="4"/>
      </rPr>
      <t>4</t>
    </r>
    <r>
      <rPr>
        <sz val="10"/>
        <color theme="1"/>
        <rFont val="Comic Sans MS"/>
        <family val="4"/>
      </rPr>
      <t>/g BOD)</t>
    </r>
  </si>
  <si>
    <r>
      <rPr>
        <sz val="10"/>
        <color theme="1"/>
        <rFont val="Comic Sans MS"/>
        <family val="4"/>
      </rPr>
      <t>(g CH</t>
    </r>
    <r>
      <rPr>
        <vertAlign val="subscript"/>
        <sz val="10"/>
        <color theme="1"/>
        <rFont val="Comic Sans MS"/>
        <family val="4"/>
      </rPr>
      <t>4</t>
    </r>
    <r>
      <rPr>
        <sz val="10"/>
        <color theme="1"/>
        <rFont val="Comic Sans MS"/>
        <family val="4"/>
      </rPr>
      <t>)</t>
    </r>
  </si>
  <si>
    <r>
      <rPr>
        <sz val="10"/>
        <color theme="1"/>
        <rFont val="Comic Sans MS"/>
        <family val="4"/>
      </rPr>
      <t>(Tg or MMT CH</t>
    </r>
    <r>
      <rPr>
        <vertAlign val="subscript"/>
        <sz val="10"/>
        <color theme="1"/>
        <rFont val="Comic Sans MS"/>
        <family val="4"/>
      </rPr>
      <t>4</t>
    </r>
    <r>
      <rPr>
        <sz val="10"/>
        <color theme="1"/>
        <rFont val="Comic Sans MS"/>
        <family val="4"/>
      </rPr>
      <t>)</t>
    </r>
  </si>
  <si>
    <r>
      <rPr>
        <sz val="10"/>
        <color theme="1"/>
        <rFont val="Comic Sans MS"/>
        <family val="4"/>
      </rPr>
      <t>(CO</t>
    </r>
    <r>
      <rPr>
        <vertAlign val="subscript"/>
        <sz val="10"/>
        <color theme="1"/>
        <rFont val="Comic Sans MS"/>
        <family val="4"/>
      </rPr>
      <t>2</t>
    </r>
    <r>
      <rPr>
        <sz val="10"/>
        <color theme="1"/>
        <rFont val="Comic Sans MS"/>
        <family val="4"/>
      </rPr>
      <t xml:space="preserve"> Eq.)</t>
    </r>
  </si>
  <si>
    <r>
      <rPr>
        <sz val="10"/>
        <color theme="1"/>
        <rFont val="Comic Sans MS"/>
        <family val="4"/>
      </rPr>
      <t>(MMTCO</t>
    </r>
    <r>
      <rPr>
        <vertAlign val="subscript"/>
        <sz val="10"/>
        <color theme="1"/>
        <rFont val="Comic Sans MS"/>
        <family val="4"/>
      </rPr>
      <t>2</t>
    </r>
    <r>
      <rPr>
        <sz val="10"/>
        <color theme="1"/>
        <rFont val="Comic Sans MS"/>
        <family val="4"/>
      </rPr>
      <t>E)</t>
    </r>
  </si>
  <si>
    <t>Harford</t>
  </si>
  <si>
    <t>Harford W.D. Center Municipal Landfill</t>
  </si>
  <si>
    <t>Residues</t>
  </si>
  <si>
    <t>Montgomery</t>
  </si>
  <si>
    <t>Oaks Landfill</t>
  </si>
  <si>
    <t xml:space="preserve">Corn for Grain </t>
  </si>
  <si>
    <t>'000 bushels</t>
  </si>
  <si>
    <t>Gude Landfill</t>
  </si>
  <si>
    <r>
      <rPr>
        <b/>
        <sz val="11"/>
        <color theme="1"/>
        <rFont val="Comic Sans MS"/>
        <family val="4"/>
      </rPr>
      <t>Maryland Industrial Wastewater Methane Emissions ( CH</t>
    </r>
    <r>
      <rPr>
        <b/>
        <vertAlign val="subscript"/>
        <sz val="11"/>
        <color rgb="FF000000"/>
        <rFont val="Comic Sans MS"/>
        <family val="4"/>
      </rPr>
      <t xml:space="preserve">4 </t>
    </r>
    <r>
      <rPr>
        <b/>
        <sz val="11"/>
        <color rgb="FF000000"/>
        <rFont val="Comic Sans MS"/>
        <family val="4"/>
      </rPr>
      <t>) - Fruit and Vegetables  Processing</t>
    </r>
  </si>
  <si>
    <t>Legumes</t>
  </si>
  <si>
    <t>Howard</t>
  </si>
  <si>
    <t>Alpha Ridge</t>
  </si>
  <si>
    <r>
      <rPr>
        <b/>
        <sz val="10"/>
        <color theme="1"/>
        <rFont val="Comic Sans MS"/>
        <family val="4"/>
      </rPr>
      <t>CH</t>
    </r>
    <r>
      <rPr>
        <b/>
        <vertAlign val="subscript"/>
        <sz val="10"/>
        <color theme="1"/>
        <rFont val="Comic Sans MS"/>
        <family val="4"/>
      </rPr>
      <t>4</t>
    </r>
    <r>
      <rPr>
        <b/>
        <sz val="10"/>
        <color theme="1"/>
        <rFont val="Comic Sans MS"/>
        <family val="4"/>
      </rPr>
      <t xml:space="preserve"> GWP</t>
    </r>
  </si>
  <si>
    <r>
      <rPr>
        <b/>
        <sz val="10"/>
        <color theme="1"/>
        <rFont val="Comic Sans MS"/>
        <family val="4"/>
      </rPr>
      <t>C/CO</t>
    </r>
    <r>
      <rPr>
        <b/>
        <vertAlign val="subscript"/>
        <sz val="10"/>
        <color theme="1"/>
        <rFont val="Comic Sans MS"/>
        <family val="4"/>
      </rPr>
      <t>2</t>
    </r>
  </si>
  <si>
    <r>
      <rPr>
        <b/>
        <sz val="11"/>
        <color rgb="FF1155CC"/>
        <rFont val="Calibri"/>
        <family val="2"/>
      </rPr>
      <t xml:space="preserve">(B) USFS Model state-level estimates </t>
    </r>
    <r>
      <rPr>
        <sz val="11"/>
        <color rgb="FF1155CC"/>
        <rFont val="Calibri"/>
        <family val="2"/>
      </rPr>
      <t>(for other forest pools)</t>
    </r>
  </si>
  <si>
    <r>
      <rPr>
        <sz val="10"/>
        <color theme="1"/>
        <rFont val="Comic Sans MS"/>
        <family val="4"/>
      </rPr>
      <t>(m</t>
    </r>
    <r>
      <rPr>
        <vertAlign val="superscript"/>
        <sz val="10"/>
        <color theme="1"/>
        <rFont val="Comic Sans MS"/>
        <family val="4"/>
      </rPr>
      <t>3</t>
    </r>
    <r>
      <rPr>
        <sz val="10"/>
        <color theme="1"/>
        <rFont val="Comic Sans MS"/>
        <family val="4"/>
      </rPr>
      <t>/metric ton)</t>
    </r>
  </si>
  <si>
    <r>
      <rPr>
        <sz val="10"/>
        <color theme="1"/>
        <rFont val="Comic Sans MS"/>
        <family val="4"/>
      </rPr>
      <t>(l/m</t>
    </r>
    <r>
      <rPr>
        <vertAlign val="superscript"/>
        <sz val="10"/>
        <color theme="1"/>
        <rFont val="Comic Sans MS"/>
        <family val="4"/>
      </rPr>
      <t>3</t>
    </r>
    <r>
      <rPr>
        <sz val="10"/>
        <color theme="1"/>
        <rFont val="Comic Sans MS"/>
        <family val="4"/>
      </rPr>
      <t>)</t>
    </r>
  </si>
  <si>
    <r>
      <rPr>
        <sz val="10"/>
        <color theme="1"/>
        <rFont val="Comic Sans MS"/>
        <family val="4"/>
      </rPr>
      <t>(g CH</t>
    </r>
    <r>
      <rPr>
        <vertAlign val="subscript"/>
        <sz val="10"/>
        <color theme="1"/>
        <rFont val="Comic Sans MS"/>
        <family val="4"/>
      </rPr>
      <t>4</t>
    </r>
    <r>
      <rPr>
        <sz val="10"/>
        <color theme="1"/>
        <rFont val="Comic Sans MS"/>
        <family val="4"/>
      </rPr>
      <t>/g COD)</t>
    </r>
  </si>
  <si>
    <r>
      <rPr>
        <sz val="10"/>
        <color theme="1"/>
        <rFont val="Comic Sans MS"/>
        <family val="4"/>
      </rPr>
      <t>(g CH</t>
    </r>
    <r>
      <rPr>
        <vertAlign val="subscript"/>
        <sz val="10"/>
        <color theme="1"/>
        <rFont val="Comic Sans MS"/>
        <family val="4"/>
      </rPr>
      <t>4</t>
    </r>
    <r>
      <rPr>
        <sz val="10"/>
        <color theme="1"/>
        <rFont val="Comic Sans MS"/>
        <family val="4"/>
      </rPr>
      <t>)</t>
    </r>
  </si>
  <si>
    <t xml:space="preserve">All Wheat </t>
  </si>
  <si>
    <r>
      <rPr>
        <sz val="10"/>
        <color theme="1"/>
        <rFont val="Comic Sans MS"/>
        <family val="4"/>
      </rPr>
      <t>(Tg or MMT CH</t>
    </r>
    <r>
      <rPr>
        <vertAlign val="subscript"/>
        <sz val="10"/>
        <color theme="1"/>
        <rFont val="Comic Sans MS"/>
        <family val="4"/>
      </rPr>
      <t>4</t>
    </r>
    <r>
      <rPr>
        <sz val="10"/>
        <color theme="1"/>
        <rFont val="Comic Sans MS"/>
        <family val="4"/>
      </rPr>
      <t>)</t>
    </r>
  </si>
  <si>
    <r>
      <rPr>
        <sz val="10"/>
        <color theme="1"/>
        <rFont val="Comic Sans MS"/>
        <family val="4"/>
      </rPr>
      <t>(CO</t>
    </r>
    <r>
      <rPr>
        <vertAlign val="subscript"/>
        <sz val="10"/>
        <color theme="1"/>
        <rFont val="Comic Sans MS"/>
        <family val="4"/>
      </rPr>
      <t>2</t>
    </r>
    <r>
      <rPr>
        <sz val="10"/>
        <color theme="1"/>
        <rFont val="Comic Sans MS"/>
        <family val="4"/>
      </rPr>
      <t xml:space="preserve"> Eq.)</t>
    </r>
  </si>
  <si>
    <r>
      <rPr>
        <sz val="10"/>
        <color theme="1"/>
        <rFont val="Comic Sans MS"/>
        <family val="4"/>
      </rPr>
      <t>(MMTCO</t>
    </r>
    <r>
      <rPr>
        <vertAlign val="subscript"/>
        <sz val="10"/>
        <color theme="1"/>
        <rFont val="Comic Sans MS"/>
        <family val="4"/>
      </rPr>
      <t>2</t>
    </r>
    <r>
      <rPr>
        <sz val="10"/>
        <color theme="1"/>
        <rFont val="Comic Sans MS"/>
        <family val="4"/>
      </rPr>
      <t>E)</t>
    </r>
  </si>
  <si>
    <t>Kent</t>
  </si>
  <si>
    <t>Nicholson</t>
  </si>
  <si>
    <t xml:space="preserve">Barley </t>
  </si>
  <si>
    <t>Net CO2 Flux from Forest Pools in Forest Land Remaining Forest Land (MMT CO2 Eq.)</t>
  </si>
  <si>
    <t>Sorghum for Grain</t>
  </si>
  <si>
    <t>Prince Georges</t>
  </si>
  <si>
    <t>Brown Station Landfill 1</t>
  </si>
  <si>
    <t>Emissions were not calculated for the following sources: Industrial fruits &amp; vegetables, Industrial poultry, and Industrial pulp &amp; paper.</t>
  </si>
  <si>
    <t>State</t>
  </si>
  <si>
    <t>Carbon Pools</t>
  </si>
  <si>
    <t>Oats</t>
  </si>
  <si>
    <t>Municipal CH4</t>
  </si>
  <si>
    <t>Dead Wood</t>
  </si>
  <si>
    <t>Rye</t>
  </si>
  <si>
    <t>Municipal N2O</t>
  </si>
  <si>
    <t>Litter</t>
  </si>
  <si>
    <t>Soil (Mineral)</t>
  </si>
  <si>
    <t>Millet</t>
  </si>
  <si>
    <t>Soil (Organic)</t>
  </si>
  <si>
    <t>Industrial CH4</t>
  </si>
  <si>
    <t>Brown Station Landfill B</t>
  </si>
  <si>
    <t>Rice</t>
  </si>
  <si>
    <t>'000 hundred weight</t>
  </si>
  <si>
    <t>Net CO2 Flux from Forest C Pools in Land Converted to Forest Land by Land Use Change Category (MMT CO2 Eq.)</t>
  </si>
  <si>
    <t>Fruits &amp; Vegetables</t>
  </si>
  <si>
    <t>CDP/Sandy Hill</t>
  </si>
  <si>
    <t>Land Use Conversion</t>
  </si>
  <si>
    <t>Land Use/Carbon Pool</t>
  </si>
  <si>
    <t>Red Meat</t>
  </si>
  <si>
    <t>Totals (Pools)</t>
  </si>
  <si>
    <t>Total Dead Wood Flux</t>
  </si>
  <si>
    <t xml:space="preserve">Soybeans </t>
  </si>
  <si>
    <t>Saint Andrews 1 &amp; 2 Municipal LF</t>
  </si>
  <si>
    <t>Total Litter Flux</t>
  </si>
  <si>
    <t>Pulp &amp; Paper</t>
  </si>
  <si>
    <t>Total Soil (Mineral) Flux</t>
  </si>
  <si>
    <t>Somerset</t>
  </si>
  <si>
    <t>Somerset County Municipal LF or Fairmount Rd</t>
  </si>
  <si>
    <t>Net CO2 Flux from Forest C Pools in Forest Land Converted to Land by Land Use Change Category (MMT CO2 Eq.)</t>
  </si>
  <si>
    <t>Peanuts</t>
  </si>
  <si>
    <t>'000 lbs</t>
  </si>
  <si>
    <t>Westover/Ring</t>
  </si>
  <si>
    <t>Dry Edible Beans</t>
  </si>
  <si>
    <t>Talbot</t>
  </si>
  <si>
    <t>Midshore II Regional Municipal LF</t>
  </si>
  <si>
    <t>Dry Edible Peas</t>
  </si>
  <si>
    <t>Tree and Forest Carbon Summary</t>
  </si>
  <si>
    <t>Emissions (MMTCO2e)</t>
  </si>
  <si>
    <t>Washington</t>
  </si>
  <si>
    <t>Hancock Landfill</t>
  </si>
  <si>
    <t>Austrian Winter Peas</t>
  </si>
  <si>
    <t>Above Ground Biomass Flux¹</t>
  </si>
  <si>
    <t>Resh Road 1 &amp; 2 Municipal LF</t>
  </si>
  <si>
    <t>Below Ground Biomass Flux¹ ²</t>
  </si>
  <si>
    <t>Lentils</t>
  </si>
  <si>
    <t>Forty West</t>
  </si>
  <si>
    <t>Wrinkled Seed Peas</t>
  </si>
  <si>
    <t>Wicomico</t>
  </si>
  <si>
    <t>Newland Park Municipal LF - Wicomico County Landfill</t>
  </si>
  <si>
    <t>Red Clover</t>
  </si>
  <si>
    <t>metric tons</t>
  </si>
  <si>
    <t>Deadwood³</t>
  </si>
  <si>
    <t>Litter³</t>
  </si>
  <si>
    <t>White Clover</t>
  </si>
  <si>
    <t>Soil (Mineral)³</t>
  </si>
  <si>
    <t>Worcester</t>
  </si>
  <si>
    <t>Central Municipal LF- Worcester County Sanitary Landfill</t>
  </si>
  <si>
    <t>Soil (Organic)³</t>
  </si>
  <si>
    <t>Birdsfoot Trefoil</t>
  </si>
  <si>
    <t>Arrowleaf Clover</t>
  </si>
  <si>
    <t>Worcester Cell 2 &amp; 3</t>
  </si>
  <si>
    <t>Crimson Clover</t>
  </si>
  <si>
    <t>Landfilled Yard Trimmings and Food Scraps</t>
  </si>
  <si>
    <t>Grass</t>
  </si>
  <si>
    <t>Leaves</t>
  </si>
  <si>
    <t>Branches</t>
  </si>
  <si>
    <t>Ag Soils Plant Fertilizer Emissions in Maryland</t>
  </si>
  <si>
    <t>Landfilled Food Scraps</t>
  </si>
  <si>
    <t>Fertilizer Calculations</t>
  </si>
  <si>
    <t>Total Wood Products and Landfills</t>
  </si>
  <si>
    <t>Growing Year Entry</t>
  </si>
  <si>
    <r>
      <rPr>
        <b/>
        <sz val="8"/>
        <color theme="1"/>
        <rFont val="Calibri"/>
        <family val="2"/>
      </rPr>
      <t>Total Fertilizer Use</t>
    </r>
    <r>
      <rPr>
        <sz val="8"/>
        <color theme="1"/>
        <rFont val="Calibri"/>
        <family val="2"/>
      </rPr>
      <t xml:space="preserve"> (kg N)</t>
    </r>
  </si>
  <si>
    <r>
      <rPr>
        <b/>
        <sz val="8"/>
        <color theme="1"/>
        <rFont val="Calibri"/>
        <family val="2"/>
      </rPr>
      <t xml:space="preserve">Total N in Fertilizers </t>
    </r>
    <r>
      <rPr>
        <sz val="8"/>
        <color theme="1"/>
        <rFont val="Calibri"/>
        <family val="2"/>
      </rPr>
      <t>(Calendar Year)</t>
    </r>
  </si>
  <si>
    <t>Volatilzation
(Percent)</t>
  </si>
  <si>
    <t>N Content of Non-Manure Organics</t>
  </si>
  <si>
    <r>
      <rPr>
        <b/>
        <sz val="8"/>
        <color theme="1"/>
        <rFont val="Calibri"/>
        <family val="2"/>
      </rPr>
      <t xml:space="preserve">Unvolatized N
</t>
    </r>
    <r>
      <rPr>
        <sz val="8"/>
        <color theme="1"/>
        <rFont val="Calibri"/>
        <family val="2"/>
      </rPr>
      <t>(kg)</t>
    </r>
  </si>
  <si>
    <r>
      <rPr>
        <b/>
        <sz val="8"/>
        <color theme="1"/>
        <rFont val="Calibri"/>
        <family val="2"/>
      </rPr>
      <t xml:space="preserve">Volatized N
</t>
    </r>
    <r>
      <rPr>
        <sz val="8"/>
        <color theme="1"/>
        <rFont val="Calibri"/>
        <family val="2"/>
      </rPr>
      <t>(kg)</t>
    </r>
  </si>
  <si>
    <r>
      <rPr>
        <sz val="10"/>
        <color theme="1"/>
        <rFont val="Arial"/>
        <family val="2"/>
      </rPr>
      <t>MSW Generation (short ton CH</t>
    </r>
    <r>
      <rPr>
        <vertAlign val="subscript"/>
        <sz val="10"/>
        <color theme="1"/>
        <rFont val="Arial"/>
        <family val="2"/>
      </rPr>
      <t>4</t>
    </r>
    <r>
      <rPr>
        <sz val="10"/>
        <color theme="1"/>
        <rFont val="Arial"/>
        <family val="2"/>
      </rPr>
      <t>)</t>
    </r>
  </si>
  <si>
    <r>
      <rPr>
        <b/>
        <sz val="8"/>
        <color theme="1"/>
        <rFont val="Calibri"/>
        <family val="2"/>
      </rPr>
      <t>Direct N</t>
    </r>
    <r>
      <rPr>
        <b/>
        <vertAlign val="subscript"/>
        <sz val="8"/>
        <color theme="1"/>
        <rFont val="Calibri"/>
        <family val="2"/>
      </rPr>
      <t>2</t>
    </r>
    <r>
      <rPr>
        <b/>
        <sz val="8"/>
        <color theme="1"/>
        <rFont val="Calibri"/>
        <family val="2"/>
      </rPr>
      <t>O Emissions
(metric tons)</t>
    </r>
  </si>
  <si>
    <r>
      <rPr>
        <b/>
        <sz val="8"/>
        <color theme="1"/>
        <rFont val="Calibri"/>
        <family val="2"/>
      </rPr>
      <t>Indirect N</t>
    </r>
    <r>
      <rPr>
        <b/>
        <vertAlign val="subscript"/>
        <sz val="8"/>
        <color theme="1"/>
        <rFont val="Calibri"/>
        <family val="2"/>
      </rPr>
      <t>2</t>
    </r>
    <r>
      <rPr>
        <b/>
        <sz val="8"/>
        <color theme="1"/>
        <rFont val="Calibri"/>
        <family val="2"/>
      </rPr>
      <t>O Emissions
(metric tons)</t>
    </r>
  </si>
  <si>
    <r>
      <rPr>
        <b/>
        <sz val="8"/>
        <color theme="1"/>
        <rFont val="Calibri"/>
        <family val="2"/>
      </rPr>
      <t xml:space="preserve">Direct Emissions
</t>
    </r>
    <r>
      <rPr>
        <sz val="8"/>
        <color theme="1"/>
        <rFont val="Calibri"/>
        <family val="2"/>
      </rPr>
      <t>(MMTCE)</t>
    </r>
  </si>
  <si>
    <r>
      <rPr>
        <b/>
        <sz val="8"/>
        <color theme="1"/>
        <rFont val="Calibri"/>
        <family val="2"/>
      </rPr>
      <t xml:space="preserve">Indirect Emissions
</t>
    </r>
    <r>
      <rPr>
        <sz val="8"/>
        <color theme="1"/>
        <rFont val="Calibri"/>
        <family val="2"/>
      </rPr>
      <t>(MMTCE)</t>
    </r>
  </si>
  <si>
    <r>
      <rPr>
        <b/>
        <sz val="8"/>
        <color theme="1"/>
        <rFont val="Calibri"/>
        <family val="2"/>
      </rPr>
      <t>Direct Emissions
(MMTCO</t>
    </r>
    <r>
      <rPr>
        <b/>
        <vertAlign val="subscript"/>
        <sz val="8"/>
        <color theme="1"/>
        <rFont val="Calibri"/>
        <family val="2"/>
      </rPr>
      <t>2</t>
    </r>
    <r>
      <rPr>
        <b/>
        <sz val="8"/>
        <color theme="1"/>
        <rFont val="Calibri"/>
        <family val="2"/>
      </rPr>
      <t>E)</t>
    </r>
  </si>
  <si>
    <t>Total wood products and landfills</t>
  </si>
  <si>
    <r>
      <rPr>
        <b/>
        <sz val="8"/>
        <color theme="1"/>
        <rFont val="Calibri"/>
        <family val="2"/>
      </rPr>
      <t>Indirect Emissions
(MMTCO</t>
    </r>
    <r>
      <rPr>
        <b/>
        <vertAlign val="subscript"/>
        <sz val="8"/>
        <color theme="1"/>
        <rFont val="Calibri"/>
        <family val="2"/>
      </rPr>
      <t>2</t>
    </r>
    <r>
      <rPr>
        <b/>
        <sz val="8"/>
        <color theme="1"/>
        <rFont val="Calibri"/>
        <family val="2"/>
      </rPr>
      <t>E)</t>
    </r>
  </si>
  <si>
    <r>
      <rPr>
        <sz val="10"/>
        <color theme="1"/>
        <rFont val="Arial"/>
        <family val="2"/>
      </rPr>
      <t>Flared CH</t>
    </r>
    <r>
      <rPr>
        <vertAlign val="subscript"/>
        <sz val="10"/>
        <color theme="1"/>
        <rFont val="Arial"/>
        <family val="2"/>
      </rPr>
      <t>4</t>
    </r>
    <r>
      <rPr>
        <sz val="10"/>
        <color theme="1"/>
        <rFont val="Arial"/>
        <family val="2"/>
      </rPr>
      <t xml:space="preserve"> (tons)</t>
    </r>
  </si>
  <si>
    <t xml:space="preserve">Synthetic </t>
  </si>
  <si>
    <t>Emission Factor
(percent)</t>
  </si>
  <si>
    <t>Landfill Gas-to-Energy (tons)</t>
  </si>
  <si>
    <r>
      <rPr>
        <sz val="10"/>
        <color theme="1"/>
        <rFont val="Arial"/>
        <family val="2"/>
      </rPr>
      <t>CH</t>
    </r>
    <r>
      <rPr>
        <vertAlign val="subscript"/>
        <sz val="10"/>
        <color theme="1"/>
        <rFont val="Arial"/>
        <family val="2"/>
      </rPr>
      <t>4</t>
    </r>
    <r>
      <rPr>
        <sz val="10"/>
        <color theme="1"/>
        <rFont val="Arial"/>
        <family val="2"/>
      </rPr>
      <t xml:space="preserve"> GWP</t>
    </r>
  </si>
  <si>
    <r>
      <rPr>
        <sz val="10"/>
        <color theme="1"/>
        <rFont val="Arial"/>
        <family val="2"/>
      </rPr>
      <t>CH</t>
    </r>
    <r>
      <rPr>
        <vertAlign val="subscript"/>
        <sz val="10"/>
        <color theme="1"/>
        <rFont val="Arial"/>
        <family val="2"/>
      </rPr>
      <t>4</t>
    </r>
    <r>
      <rPr>
        <sz val="10"/>
        <color theme="1"/>
        <rFont val="Arial"/>
        <family val="2"/>
      </rPr>
      <t xml:space="preserve"> GWP</t>
    </r>
  </si>
  <si>
    <r>
      <rPr>
        <sz val="10"/>
        <color theme="1"/>
        <rFont val="Arial"/>
        <family val="2"/>
      </rPr>
      <t>CH</t>
    </r>
    <r>
      <rPr>
        <vertAlign val="subscript"/>
        <sz val="10"/>
        <color theme="1"/>
        <rFont val="Arial"/>
        <family val="2"/>
      </rPr>
      <t>4</t>
    </r>
    <r>
      <rPr>
        <sz val="10"/>
        <color theme="1"/>
        <rFont val="Arial"/>
        <family val="2"/>
      </rPr>
      <t xml:space="preserve"> GWP</t>
    </r>
  </si>
  <si>
    <r>
      <rPr>
        <b/>
        <sz val="10"/>
        <color theme="1"/>
        <rFont val="Arial"/>
        <family val="2"/>
      </rPr>
      <t>MSW Generation ( MTCO</t>
    </r>
    <r>
      <rPr>
        <b/>
        <vertAlign val="subscript"/>
        <sz val="10"/>
        <color theme="1"/>
        <rFont val="Arial"/>
        <family val="2"/>
      </rPr>
      <t>2</t>
    </r>
    <r>
      <rPr>
        <b/>
        <sz val="10"/>
        <color theme="1"/>
        <rFont val="Arial"/>
        <family val="2"/>
      </rPr>
      <t>E)</t>
    </r>
  </si>
  <si>
    <r>
      <rPr>
        <b/>
        <sz val="10"/>
        <color theme="1"/>
        <rFont val="Arial"/>
        <family val="2"/>
      </rPr>
      <t>Flared CH</t>
    </r>
    <r>
      <rPr>
        <b/>
        <vertAlign val="subscript"/>
        <sz val="10"/>
        <color theme="1"/>
        <rFont val="Arial"/>
        <family val="2"/>
      </rPr>
      <t>4</t>
    </r>
    <r>
      <rPr>
        <b/>
        <sz val="10"/>
        <color theme="1"/>
        <rFont val="Arial"/>
        <family val="2"/>
      </rPr>
      <t xml:space="preserve"> (MTCO</t>
    </r>
    <r>
      <rPr>
        <b/>
        <vertAlign val="subscript"/>
        <sz val="10"/>
        <color theme="1"/>
        <rFont val="Arial"/>
        <family val="2"/>
      </rPr>
      <t>2</t>
    </r>
    <r>
      <rPr>
        <b/>
        <sz val="10"/>
        <color theme="1"/>
        <rFont val="Arial"/>
        <family val="2"/>
      </rPr>
      <t>E)</t>
    </r>
  </si>
  <si>
    <r>
      <rPr>
        <b/>
        <sz val="10"/>
        <color theme="1"/>
        <rFont val="Arial"/>
        <family val="2"/>
      </rPr>
      <t>Landfill Gas-to-Energy (MTCO</t>
    </r>
    <r>
      <rPr>
        <b/>
        <vertAlign val="subscript"/>
        <sz val="10"/>
        <color theme="1"/>
        <rFont val="Arial"/>
        <family val="2"/>
      </rPr>
      <t>2</t>
    </r>
    <r>
      <rPr>
        <b/>
        <sz val="10"/>
        <color theme="1"/>
        <rFont val="Arial"/>
        <family val="2"/>
      </rPr>
      <t>E)</t>
    </r>
  </si>
  <si>
    <t xml:space="preserve">Organic  </t>
  </si>
  <si>
    <r>
      <rPr>
        <b/>
        <sz val="10"/>
        <color theme="1"/>
        <rFont val="Arial"/>
        <family val="2"/>
      </rPr>
      <t>Industrial  Generation (MTCO</t>
    </r>
    <r>
      <rPr>
        <b/>
        <vertAlign val="subscript"/>
        <sz val="10"/>
        <color theme="1"/>
        <rFont val="Arial"/>
        <family val="2"/>
      </rPr>
      <t>2</t>
    </r>
    <r>
      <rPr>
        <b/>
        <sz val="10"/>
        <color theme="1"/>
        <rFont val="Arial"/>
        <family val="2"/>
      </rPr>
      <t>E)</t>
    </r>
  </si>
  <si>
    <t>Dried Blood</t>
  </si>
  <si>
    <r>
      <rPr>
        <b/>
        <sz val="10"/>
        <color theme="1"/>
        <rFont val="Arial"/>
        <family val="2"/>
      </rPr>
      <t>Potential CH</t>
    </r>
    <r>
      <rPr>
        <b/>
        <vertAlign val="subscript"/>
        <sz val="10"/>
        <color theme="1"/>
        <rFont val="Arial"/>
        <family val="2"/>
      </rPr>
      <t xml:space="preserve">4 </t>
    </r>
    <r>
      <rPr>
        <b/>
        <sz val="10"/>
        <color theme="1"/>
        <rFont val="Arial"/>
        <family val="2"/>
      </rPr>
      <t>(MTCO</t>
    </r>
    <r>
      <rPr>
        <b/>
        <vertAlign val="subscript"/>
        <sz val="10"/>
        <color theme="1"/>
        <rFont val="Arial"/>
        <family val="2"/>
      </rPr>
      <t>2</t>
    </r>
    <r>
      <rPr>
        <b/>
        <sz val="10"/>
        <color theme="1"/>
        <rFont val="Arial"/>
        <family val="2"/>
      </rPr>
      <t>E)</t>
    </r>
  </si>
  <si>
    <t>Compost</t>
  </si>
  <si>
    <r>
      <rPr>
        <b/>
        <sz val="10"/>
        <color theme="1"/>
        <rFont val="Arial"/>
        <family val="2"/>
      </rPr>
      <t>CH</t>
    </r>
    <r>
      <rPr>
        <b/>
        <vertAlign val="subscript"/>
        <sz val="10"/>
        <color theme="1"/>
        <rFont val="Arial"/>
        <family val="2"/>
      </rPr>
      <t>4</t>
    </r>
    <r>
      <rPr>
        <b/>
        <sz val="10"/>
        <color theme="1"/>
        <rFont val="Arial"/>
        <family val="2"/>
      </rPr>
      <t xml:space="preserve"> Avoided (MTCO</t>
    </r>
    <r>
      <rPr>
        <b/>
        <vertAlign val="subscript"/>
        <sz val="10"/>
        <color theme="1"/>
        <rFont val="Arial"/>
        <family val="2"/>
      </rPr>
      <t>2</t>
    </r>
    <r>
      <rPr>
        <b/>
        <sz val="10"/>
        <color theme="1"/>
        <rFont val="Arial"/>
        <family val="2"/>
      </rPr>
      <t>E)</t>
    </r>
  </si>
  <si>
    <t>Dried Manure</t>
  </si>
  <si>
    <r>
      <rPr>
        <b/>
        <sz val="10"/>
        <color theme="1"/>
        <rFont val="Arial"/>
        <family val="2"/>
      </rPr>
      <t>Landfill Gas-to-Energy (MTCE)</t>
    </r>
  </si>
  <si>
    <t>Activated Sewage Sludge</t>
  </si>
  <si>
    <t>Other Sewage Sludge</t>
  </si>
  <si>
    <r>
      <rPr>
        <b/>
        <sz val="10"/>
        <color theme="1"/>
        <rFont val="Arial"/>
        <family val="2"/>
      </rPr>
      <t>Potential CH</t>
    </r>
    <r>
      <rPr>
        <b/>
        <vertAlign val="subscript"/>
        <sz val="10"/>
        <color theme="1"/>
        <rFont val="Arial"/>
        <family val="2"/>
      </rPr>
      <t xml:space="preserve">4 </t>
    </r>
    <r>
      <rPr>
        <b/>
        <sz val="10"/>
        <color theme="1"/>
        <rFont val="Arial"/>
        <family val="2"/>
      </rPr>
      <t>(MTCE)</t>
    </r>
  </si>
  <si>
    <t>Tankage</t>
  </si>
  <si>
    <t xml:space="preserve">Other </t>
  </si>
  <si>
    <t>Dried Manure %</t>
  </si>
  <si>
    <r>
      <rPr>
        <b/>
        <sz val="10"/>
        <color theme="1"/>
        <rFont val="Arial"/>
        <family val="2"/>
      </rPr>
      <t>CH</t>
    </r>
    <r>
      <rPr>
        <b/>
        <vertAlign val="subscript"/>
        <sz val="10"/>
        <color theme="1"/>
        <rFont val="Arial"/>
        <family val="2"/>
      </rPr>
      <t>4</t>
    </r>
    <r>
      <rPr>
        <b/>
        <sz val="10"/>
        <color theme="1"/>
        <rFont val="Arial"/>
        <family val="2"/>
      </rPr>
      <t xml:space="preserve"> Avoided (MTCE)</t>
    </r>
  </si>
  <si>
    <t>Oxidation at MSW Landfills (tons)</t>
  </si>
  <si>
    <t>Non-Manure Organics</t>
  </si>
  <si>
    <r>
      <rPr>
        <sz val="10"/>
        <color theme="1"/>
        <rFont val="Arial"/>
        <family val="2"/>
      </rPr>
      <t>CH</t>
    </r>
    <r>
      <rPr>
        <vertAlign val="subscript"/>
        <sz val="10"/>
        <color theme="1"/>
        <rFont val="Arial"/>
        <family val="2"/>
      </rPr>
      <t>4</t>
    </r>
    <r>
      <rPr>
        <sz val="10"/>
        <color theme="1"/>
        <rFont val="Arial"/>
        <family val="2"/>
      </rPr>
      <t xml:space="preserve"> GWP</t>
    </r>
  </si>
  <si>
    <t>Manure Organics</t>
  </si>
  <si>
    <r>
      <rPr>
        <b/>
        <sz val="10"/>
        <color theme="1"/>
        <rFont val="Arial"/>
        <family val="2"/>
      </rPr>
      <t>Oxidation at MSW Landfills (MTCO</t>
    </r>
    <r>
      <rPr>
        <b/>
        <vertAlign val="subscript"/>
        <sz val="10"/>
        <color theme="1"/>
        <rFont val="Arial"/>
        <family val="2"/>
      </rPr>
      <t>2</t>
    </r>
    <r>
      <rPr>
        <b/>
        <sz val="10"/>
        <color theme="1"/>
        <rFont val="Arial"/>
        <family val="2"/>
      </rPr>
      <t>E)</t>
    </r>
  </si>
  <si>
    <r>
      <rPr>
        <b/>
        <sz val="8"/>
        <color theme="1"/>
        <rFont val="Calibri"/>
        <family val="2"/>
      </rPr>
      <t>Total Fertilizer Use</t>
    </r>
    <r>
      <rPr>
        <sz val="8"/>
        <color theme="1"/>
        <rFont val="Calibri"/>
        <family val="2"/>
      </rPr>
      <t xml:space="preserve"> (kg N)</t>
    </r>
  </si>
  <si>
    <r>
      <rPr>
        <b/>
        <sz val="10"/>
        <color theme="1"/>
        <rFont val="Arial"/>
        <family val="2"/>
      </rPr>
      <t>Oxidation at MSW Landfills (MTCE)</t>
    </r>
  </si>
  <si>
    <r>
      <rPr>
        <b/>
        <sz val="10"/>
        <color theme="1"/>
        <rFont val="Arial"/>
        <family val="2"/>
      </rPr>
      <t>Oxidation at Industrial Landfills (MTCO</t>
    </r>
    <r>
      <rPr>
        <b/>
        <vertAlign val="subscript"/>
        <sz val="10"/>
        <color theme="1"/>
        <rFont val="Arial"/>
        <family val="2"/>
      </rPr>
      <t>2</t>
    </r>
    <r>
      <rPr>
        <b/>
        <sz val="10"/>
        <color theme="1"/>
        <rFont val="Arial"/>
        <family val="2"/>
      </rPr>
      <t>E)</t>
    </r>
  </si>
  <si>
    <t>Wetlands and Submerged Aquatic Vegetation (SAV)</t>
  </si>
  <si>
    <t>Coastal Wetlands and SAV</t>
  </si>
  <si>
    <t>Area (acres)</t>
  </si>
  <si>
    <r>
      <rPr>
        <b/>
        <sz val="10"/>
        <color theme="1"/>
        <rFont val="Arial"/>
        <family val="2"/>
      </rPr>
      <t>Oxidation at Industrial Landfills (MTCE)</t>
    </r>
  </si>
  <si>
    <t>Wetland Category and Salinity</t>
  </si>
  <si>
    <t>Coastal Bays Estaurine Wetland</t>
  </si>
  <si>
    <t>Mesohaline Estaurine Wetlands</t>
  </si>
  <si>
    <t>Freshwater SAV</t>
  </si>
  <si>
    <t>Oligohaline SAV</t>
  </si>
  <si>
    <r>
      <rPr>
        <b/>
        <sz val="10"/>
        <color theme="1"/>
        <rFont val="Arial"/>
        <family val="2"/>
      </rPr>
      <t>Total CH</t>
    </r>
    <r>
      <rPr>
        <b/>
        <vertAlign val="subscript"/>
        <sz val="10"/>
        <color theme="1"/>
        <rFont val="Arial"/>
        <family val="2"/>
      </rPr>
      <t>4</t>
    </r>
    <r>
      <rPr>
        <b/>
        <sz val="10"/>
        <color theme="1"/>
        <rFont val="Arial"/>
        <family val="2"/>
      </rPr>
      <t xml:space="preserve"> Emissions (MTCO</t>
    </r>
    <r>
      <rPr>
        <b/>
        <vertAlign val="subscript"/>
        <sz val="10"/>
        <color theme="1"/>
        <rFont val="Arial"/>
        <family val="2"/>
      </rPr>
      <t>2</t>
    </r>
    <r>
      <rPr>
        <b/>
        <sz val="10"/>
        <color theme="1"/>
        <rFont val="Arial"/>
        <family val="2"/>
      </rPr>
      <t>E)</t>
    </r>
  </si>
  <si>
    <t>Mesohaline SAV</t>
  </si>
  <si>
    <t>Coastal Bays SAV</t>
  </si>
  <si>
    <t>Total, Wetlands</t>
  </si>
  <si>
    <t>Total, SAV</t>
  </si>
  <si>
    <r>
      <rPr>
        <b/>
        <sz val="10"/>
        <color rgb="FFFF6600"/>
        <rFont val="Arial"/>
        <family val="2"/>
      </rPr>
      <t>CO</t>
    </r>
    <r>
      <rPr>
        <b/>
        <vertAlign val="subscript"/>
        <sz val="10"/>
        <color rgb="FFFF6600"/>
        <rFont val="Arial"/>
        <family val="2"/>
      </rPr>
      <t>2</t>
    </r>
    <r>
      <rPr>
        <b/>
        <sz val="10"/>
        <color rgb="FFFF6600"/>
        <rFont val="Arial"/>
        <family val="2"/>
      </rPr>
      <t xml:space="preserve"> Emission from (Flaring + LFGTE) (MTCO2E)</t>
    </r>
  </si>
  <si>
    <t>Soil Carbon Burial (Mg CO2)</t>
  </si>
  <si>
    <t>Agriculture Soils - Emissions from Animals &amp; Runoff</t>
  </si>
  <si>
    <t>Mg CO2 acre-1 yr-1</t>
  </si>
  <si>
    <t xml:space="preserve">Percentage Breakdown of Manure Management Systems </t>
  </si>
  <si>
    <t>K-NITROGEN EXCRETED BY MANAGEMENT SYSTEM (kg):</t>
  </si>
  <si>
    <r>
      <rPr>
        <b/>
        <sz val="10"/>
        <color theme="1"/>
        <rFont val="Arial"/>
        <family val="2"/>
      </rPr>
      <t>Total CO</t>
    </r>
    <r>
      <rPr>
        <b/>
        <vertAlign val="subscript"/>
        <sz val="10"/>
        <color theme="1"/>
        <rFont val="Arial"/>
        <family val="2"/>
      </rPr>
      <t>2</t>
    </r>
    <r>
      <rPr>
        <b/>
        <sz val="10"/>
        <color theme="1"/>
        <rFont val="Arial"/>
        <family val="2"/>
      </rPr>
      <t xml:space="preserve"> Emissions (MMTCO2E)</t>
    </r>
  </si>
  <si>
    <t>DIRECT EMISSIONS (MT N)</t>
  </si>
  <si>
    <t>Source: US Inventory spreadsheets. See Manure-N2O.xls, WMS sheets.</t>
  </si>
  <si>
    <r>
      <rPr>
        <b/>
        <sz val="8"/>
        <color theme="1"/>
        <rFont val="Calibri"/>
        <family val="2"/>
      </rPr>
      <t xml:space="preserve">Number of Animals
</t>
    </r>
    <r>
      <rPr>
        <sz val="8"/>
        <color theme="1"/>
        <rFont val="Calibri"/>
        <family val="2"/>
      </rPr>
      <t>('000 head)</t>
    </r>
  </si>
  <si>
    <t>TAM
(kg)</t>
  </si>
  <si>
    <t>K-Nitrogen
(kg/day/1000kg)</t>
  </si>
  <si>
    <r>
      <rPr>
        <b/>
        <sz val="8"/>
        <color theme="1"/>
        <rFont val="Calibri"/>
        <family val="2"/>
      </rPr>
      <t xml:space="preserve">Total K-Nitrogen Excreted
</t>
    </r>
    <r>
      <rPr>
        <sz val="8"/>
        <color theme="1"/>
        <rFont val="Calibri"/>
        <family val="2"/>
      </rPr>
      <t>(kg)</t>
    </r>
  </si>
  <si>
    <r>
      <rPr>
        <b/>
        <sz val="8"/>
        <color theme="1"/>
        <rFont val="Calibri"/>
        <family val="2"/>
      </rPr>
      <t>Indirect Animal N</t>
    </r>
    <r>
      <rPr>
        <b/>
        <vertAlign val="subscript"/>
        <sz val="8"/>
        <color theme="1"/>
        <rFont val="Calibri"/>
        <family val="2"/>
      </rPr>
      <t>2</t>
    </r>
    <r>
      <rPr>
        <b/>
        <sz val="8"/>
        <color theme="1"/>
        <rFont val="Calibri"/>
        <family val="2"/>
      </rPr>
      <t xml:space="preserve">O Emissions
</t>
    </r>
    <r>
      <rPr>
        <sz val="8"/>
        <color theme="1"/>
        <rFont val="Calibri"/>
        <family val="2"/>
      </rPr>
      <t>(metric tons N)</t>
    </r>
  </si>
  <si>
    <t>Managed Systems</t>
  </si>
  <si>
    <t>Unmanaged Systems - Pasture, Range, and Paddock</t>
  </si>
  <si>
    <t>Unmanaged Systems - Daily Spread</t>
  </si>
  <si>
    <t>Manure Applied to Soils</t>
  </si>
  <si>
    <t>Pasture, Range and Paddock</t>
  </si>
  <si>
    <t>Leaching and Runoff</t>
  </si>
  <si>
    <t xml:space="preserve">Dairy Cows </t>
  </si>
  <si>
    <t>Dairy Heifers</t>
  </si>
  <si>
    <t>Feedlot Beef</t>
  </si>
  <si>
    <t>NOF Beef</t>
  </si>
  <si>
    <r>
      <rPr>
        <b/>
        <sz val="10"/>
        <color rgb="FFFF0000"/>
        <rFont val="Arial"/>
        <family val="2"/>
      </rPr>
      <t>Total CH</t>
    </r>
    <r>
      <rPr>
        <b/>
        <vertAlign val="subscript"/>
        <sz val="10"/>
        <color rgb="FFFF0000"/>
        <rFont val="Arial"/>
        <family val="2"/>
      </rPr>
      <t>4</t>
    </r>
    <r>
      <rPr>
        <b/>
        <sz val="10"/>
        <color rgb="FFFF0000"/>
        <rFont val="Arial"/>
        <family val="2"/>
      </rPr>
      <t xml:space="preserve"> Emissions (MMTCO</t>
    </r>
    <r>
      <rPr>
        <b/>
        <vertAlign val="subscript"/>
        <sz val="10"/>
        <color rgb="FFFF0000"/>
        <rFont val="Arial"/>
        <family val="2"/>
      </rPr>
      <t>2</t>
    </r>
    <r>
      <rPr>
        <b/>
        <sz val="10"/>
        <color rgb="FFFF0000"/>
        <rFont val="Arial"/>
        <family val="2"/>
      </rPr>
      <t>E)</t>
    </r>
  </si>
  <si>
    <t>Year &amp; State</t>
  </si>
  <si>
    <t>Anaerobic Lagoon</t>
  </si>
  <si>
    <t>Liquid/ Slurry</t>
  </si>
  <si>
    <t>Daily Spread</t>
  </si>
  <si>
    <t>Solid Storage</t>
  </si>
  <si>
    <t>Pasture</t>
  </si>
  <si>
    <t>Deep Pit</t>
  </si>
  <si>
    <t>Managed</t>
  </si>
  <si>
    <t>PRP</t>
  </si>
  <si>
    <t>STATE</t>
  </si>
  <si>
    <t>Dry Lot</t>
  </si>
  <si>
    <t>Poultry without bedding</t>
  </si>
  <si>
    <t>Methane Emissions (Mg CH4)</t>
  </si>
  <si>
    <t>Range</t>
  </si>
  <si>
    <t>Mg CH4 ac-1 yr-1</t>
  </si>
  <si>
    <t>On Feed (PRP)</t>
  </si>
  <si>
    <t>Not on Feed (PRP)</t>
  </si>
  <si>
    <t>Pasture, Range &amp; Paddock</t>
  </si>
  <si>
    <t>Unvolatilized N from Organic Fertilizers (kg)</t>
  </si>
  <si>
    <t>2006MD</t>
  </si>
  <si>
    <t>Carbon Flux from Wetland Landuse Change (Mg CO2)</t>
  </si>
  <si>
    <t>Vegetated Coastal Wetlands Converted to Unvegetated Open Water Coastal Wetlands</t>
  </si>
  <si>
    <t>MD</t>
  </si>
  <si>
    <t>Biomass C Flux</t>
  </si>
  <si>
    <t>Dead Organic Matter C Flux</t>
  </si>
  <si>
    <t>Soil C Flux</t>
  </si>
  <si>
    <t>Unvegetated Open Water Coastal Wetlands Converted to Vegetated Coastal Wetlands</t>
  </si>
  <si>
    <t>Unvolatilized N from Synthetic Fertilizers (kg)</t>
  </si>
  <si>
    <t>Total, Wetland LU Change</t>
  </si>
  <si>
    <r>
      <rPr>
        <b/>
        <sz val="8"/>
        <color theme="1"/>
        <rFont val="Calibri"/>
        <family val="2"/>
      </rPr>
      <t>Fertilizer Runoff/Leached</t>
    </r>
    <r>
      <rPr>
        <sz val="8"/>
        <color theme="1"/>
        <rFont val="Calibri"/>
        <family val="2"/>
      </rPr>
      <t xml:space="preserve"> (metric tons N)</t>
    </r>
  </si>
  <si>
    <t>Flooded Lands</t>
  </si>
  <si>
    <t>IPCC Emission Factors</t>
  </si>
  <si>
    <t>Surface Area (ha)</t>
  </si>
  <si>
    <t>Annual Methane Emissions (MT CH4)</t>
  </si>
  <si>
    <t>Flooded Land Category</t>
  </si>
  <si>
    <t>Climate Zone</t>
  </si>
  <si>
    <t>kg CH4 /ha/yr</t>
  </si>
  <si>
    <t>MT CO2-C /ha/yr</t>
  </si>
  <si>
    <t>MT CO2 /ha/yr</t>
  </si>
  <si>
    <t>Reservoirs &gt; 20 years old (&gt;= 8 ha)</t>
  </si>
  <si>
    <t>Cool Temperate</t>
  </si>
  <si>
    <t>Total N excreted by Livestock (kg)</t>
  </si>
  <si>
    <t>Warm temperate moist</t>
  </si>
  <si>
    <t>Reservoirs &lt;= 20 years old (&gt;= 8 ha)</t>
  </si>
  <si>
    <r>
      <rPr>
        <b/>
        <sz val="8"/>
        <color theme="1"/>
        <rFont val="Calibri"/>
        <family val="2"/>
      </rPr>
      <t xml:space="preserve">Manure Runoff/Leached </t>
    </r>
    <r>
      <rPr>
        <sz val="8"/>
        <color theme="1"/>
        <rFont val="Calibri"/>
        <family val="2"/>
      </rPr>
      <t>(metric tons N)</t>
    </r>
  </si>
  <si>
    <t>Downstream Emission</t>
  </si>
  <si>
    <t>Freshwater Ponds &gt; 20 years (&lt; 8 ha)</t>
  </si>
  <si>
    <r>
      <rPr>
        <b/>
        <sz val="8"/>
        <color theme="1"/>
        <rFont val="Calibri"/>
        <family val="2"/>
      </rPr>
      <t xml:space="preserve">TOTAL Runoff/Leached </t>
    </r>
    <r>
      <rPr>
        <sz val="8"/>
        <color theme="1"/>
        <rFont val="Calibri"/>
        <family val="2"/>
      </rPr>
      <t>(metric tons N</t>
    </r>
    <r>
      <rPr>
        <vertAlign val="subscript"/>
        <sz val="8"/>
        <color theme="1"/>
        <rFont val="Calibri"/>
        <family val="2"/>
      </rPr>
      <t>2</t>
    </r>
    <r>
      <rPr>
        <sz val="8"/>
        <color theme="1"/>
        <rFont val="Calibri"/>
        <family val="2"/>
      </rPr>
      <t>O-N)</t>
    </r>
  </si>
  <si>
    <t>Freshwater Ponds &lt;= 20 years old (&lt; 8 ha)</t>
  </si>
  <si>
    <t>Total Beef Heifers</t>
  </si>
  <si>
    <t>Canals &amp; Ditches</t>
  </si>
  <si>
    <t>Annual CO2 Emissions (MT CO2)</t>
  </si>
  <si>
    <t>Wetlands &amp; SAV Summary</t>
  </si>
  <si>
    <t>Coastal Wetlands</t>
  </si>
  <si>
    <t>SAV</t>
  </si>
  <si>
    <t>Flooded Land</t>
  </si>
  <si>
    <t>Net Forest and Landuse Emissions</t>
  </si>
  <si>
    <t>Net Forest and Landuse Emissions (MMTCO2e)</t>
  </si>
  <si>
    <t>EMISSIONS SUMMARY  2006</t>
  </si>
  <si>
    <t>Agricultural Soil Carbon Flux</t>
  </si>
  <si>
    <r>
      <rPr>
        <b/>
        <sz val="8"/>
        <color theme="1"/>
        <rFont val="Calibri"/>
        <family val="2"/>
      </rPr>
      <t>Livestock
(Metric Tons N</t>
    </r>
    <r>
      <rPr>
        <b/>
        <vertAlign val="subscript"/>
        <sz val="8"/>
        <color theme="1"/>
        <rFont val="Calibri"/>
        <family val="2"/>
      </rPr>
      <t>2</t>
    </r>
    <r>
      <rPr>
        <b/>
        <sz val="8"/>
        <color theme="1"/>
        <rFont val="Calibri"/>
        <family val="2"/>
      </rPr>
      <t>O)</t>
    </r>
  </si>
  <si>
    <t>Livestock
(MMTCE)</t>
  </si>
  <si>
    <r>
      <rPr>
        <b/>
        <sz val="8"/>
        <color theme="1"/>
        <rFont val="Calibri"/>
        <family val="2"/>
      </rPr>
      <t>Livestock
(MMTCO</t>
    </r>
    <r>
      <rPr>
        <b/>
        <vertAlign val="subscript"/>
        <sz val="8"/>
        <color theme="1"/>
        <rFont val="Calibri"/>
        <family val="2"/>
      </rPr>
      <t>2</t>
    </r>
    <r>
      <rPr>
        <b/>
        <sz val="8"/>
        <color theme="1"/>
        <rFont val="Calibri"/>
        <family val="2"/>
      </rPr>
      <t>E)</t>
    </r>
  </si>
  <si>
    <r>
      <rPr>
        <b/>
        <sz val="8"/>
        <color theme="1"/>
        <rFont val="Calibri"/>
        <family val="2"/>
      </rPr>
      <t>Leaching and Runoff
(Metric Tons N</t>
    </r>
    <r>
      <rPr>
        <b/>
        <vertAlign val="subscript"/>
        <sz val="8"/>
        <color theme="1"/>
        <rFont val="Calibri"/>
        <family val="2"/>
      </rPr>
      <t>2</t>
    </r>
    <r>
      <rPr>
        <b/>
        <sz val="8"/>
        <color theme="1"/>
        <rFont val="Calibri"/>
        <family val="2"/>
      </rPr>
      <t>O)</t>
    </r>
  </si>
  <si>
    <t>Leaching and Runoff
(MMTCE)</t>
  </si>
  <si>
    <r>
      <rPr>
        <b/>
        <sz val="8"/>
        <color theme="1"/>
        <rFont val="Calibri"/>
        <family val="2"/>
      </rPr>
      <t>Leaching and Runoff
(MMTCO</t>
    </r>
    <r>
      <rPr>
        <b/>
        <vertAlign val="subscript"/>
        <sz val="8"/>
        <color theme="1"/>
        <rFont val="Calibri"/>
        <family val="2"/>
      </rPr>
      <t>2</t>
    </r>
    <r>
      <rPr>
        <b/>
        <sz val="8"/>
        <color theme="1"/>
        <rFont val="Calibri"/>
        <family val="2"/>
      </rPr>
      <t>E)</t>
    </r>
  </si>
  <si>
    <r>
      <rPr>
        <b/>
        <sz val="8"/>
        <color theme="1"/>
        <rFont val="Calibri"/>
        <family val="2"/>
      </rPr>
      <t>Indirect N</t>
    </r>
    <r>
      <rPr>
        <b/>
        <vertAlign val="subscript"/>
        <sz val="8"/>
        <color theme="1"/>
        <rFont val="Calibri"/>
        <family val="2"/>
      </rPr>
      <t>2</t>
    </r>
    <r>
      <rPr>
        <b/>
        <sz val="8"/>
        <color theme="1"/>
        <rFont val="Calibri"/>
        <family val="2"/>
      </rPr>
      <t>O Emissions</t>
    </r>
  </si>
  <si>
    <t>¹Includes the landuse categories of Forest Land Remaining Forest Land, Land Converted to Forest Land, Forest Land Converted to Land, and Settlement Trees</t>
  </si>
  <si>
    <t>TOTAL Runoff/Leached</t>
  </si>
  <si>
    <t>²Calculated from ratio to aboveground biomass</t>
  </si>
  <si>
    <t>³USFS state-level estimates, exclusive of settlement trees</t>
  </si>
  <si>
    <r>
      <rPr>
        <sz val="8"/>
        <color theme="1"/>
        <rFont val="Calibri"/>
        <family val="2"/>
      </rPr>
      <t>Direct N</t>
    </r>
    <r>
      <rPr>
        <vertAlign val="subscript"/>
        <sz val="8"/>
        <color theme="1"/>
        <rFont val="Calibri"/>
        <family val="2"/>
      </rPr>
      <t>2</t>
    </r>
    <r>
      <rPr>
        <sz val="8"/>
        <color theme="1"/>
        <rFont val="Calibri"/>
        <family val="2"/>
      </rPr>
      <t>O Emissions - Manure Applied to Soils (including Daily Spread)</t>
    </r>
  </si>
  <si>
    <t>Fertilizer Runoff/Leached</t>
  </si>
  <si>
    <r>
      <rPr>
        <sz val="8"/>
        <color theme="1"/>
        <rFont val="Calibri"/>
        <family val="2"/>
      </rPr>
      <t>Direct N</t>
    </r>
    <r>
      <rPr>
        <vertAlign val="subscript"/>
        <sz val="8"/>
        <color theme="1"/>
        <rFont val="Calibri"/>
        <family val="2"/>
      </rPr>
      <t>2</t>
    </r>
    <r>
      <rPr>
        <sz val="8"/>
        <color theme="1"/>
        <rFont val="Calibri"/>
        <family val="2"/>
      </rPr>
      <t>O Emissions - Pasture, Range, and Paddock</t>
    </r>
  </si>
  <si>
    <t xml:space="preserve">Manure Runoff/Leached </t>
  </si>
  <si>
    <r>
      <rPr>
        <b/>
        <sz val="8"/>
        <color theme="1"/>
        <rFont val="Calibri"/>
        <family val="2"/>
      </rPr>
      <t>Direct N</t>
    </r>
    <r>
      <rPr>
        <b/>
        <vertAlign val="subscript"/>
        <sz val="8"/>
        <color theme="1"/>
        <rFont val="Calibri"/>
        <family val="2"/>
      </rPr>
      <t>2</t>
    </r>
    <r>
      <rPr>
        <b/>
        <sz val="8"/>
        <color theme="1"/>
        <rFont val="Calibri"/>
        <family val="2"/>
      </rPr>
      <t>O Emissions</t>
    </r>
  </si>
  <si>
    <t>Agricultural Residue Burning CH4 Emissions</t>
  </si>
  <si>
    <t>Crop</t>
  </si>
  <si>
    <t xml:space="preserve">Crop Production        </t>
  </si>
  <si>
    <t>metric tons/bushel</t>
  </si>
  <si>
    <t>Crop Production     (metric tons)</t>
  </si>
  <si>
    <t>Residue/Crop Ratio</t>
  </si>
  <si>
    <t>Fraction   Residue Burned</t>
  </si>
  <si>
    <t>Dry Matter Fraction</t>
  </si>
  <si>
    <t>Burning Efficiency</t>
  </si>
  <si>
    <t>Combustion Efficiency</t>
  </si>
  <si>
    <t>Carbon Content</t>
  </si>
  <si>
    <t>Total C Released  (metric tons C)</t>
  </si>
  <si>
    <r>
      <rPr>
        <b/>
        <sz val="8"/>
        <color theme="1"/>
        <rFont val="Calibri"/>
        <family val="2"/>
      </rPr>
      <t>CH</t>
    </r>
    <r>
      <rPr>
        <b/>
        <vertAlign val="subscript"/>
        <sz val="8"/>
        <color theme="1"/>
        <rFont val="Calibri"/>
        <family val="2"/>
      </rPr>
      <t>4</t>
    </r>
    <r>
      <rPr>
        <b/>
        <sz val="8"/>
        <color theme="1"/>
        <rFont val="Calibri"/>
        <family val="2"/>
      </rPr>
      <t xml:space="preserve"> Emissions  (metric tons CH</t>
    </r>
    <r>
      <rPr>
        <b/>
        <vertAlign val="subscript"/>
        <sz val="8"/>
        <color theme="1"/>
        <rFont val="Calibri"/>
        <family val="2"/>
      </rPr>
      <t>4</t>
    </r>
    <r>
      <rPr>
        <b/>
        <sz val="8"/>
        <color theme="1"/>
        <rFont val="Calibri"/>
        <family val="2"/>
      </rPr>
      <t>)</t>
    </r>
  </si>
  <si>
    <r>
      <rPr>
        <b/>
        <sz val="8"/>
        <color theme="1"/>
        <rFont val="Calibri"/>
        <family val="2"/>
      </rPr>
      <t>CH</t>
    </r>
    <r>
      <rPr>
        <b/>
        <vertAlign val="subscript"/>
        <sz val="8"/>
        <color theme="1"/>
        <rFont val="Calibri"/>
        <family val="2"/>
      </rPr>
      <t>4</t>
    </r>
    <r>
      <rPr>
        <b/>
        <sz val="8"/>
        <color theme="1"/>
        <rFont val="Calibri"/>
        <family val="2"/>
      </rPr>
      <t xml:space="preserve"> Emissions  (MMTCE)</t>
    </r>
  </si>
  <si>
    <r>
      <rPr>
        <b/>
        <sz val="8"/>
        <color theme="1"/>
        <rFont val="Calibri"/>
        <family val="2"/>
      </rPr>
      <t>CH</t>
    </r>
    <r>
      <rPr>
        <b/>
        <vertAlign val="subscript"/>
        <sz val="8"/>
        <color theme="1"/>
        <rFont val="Calibri"/>
        <family val="2"/>
      </rPr>
      <t>4</t>
    </r>
    <r>
      <rPr>
        <b/>
        <sz val="8"/>
        <color theme="1"/>
        <rFont val="Calibri"/>
        <family val="2"/>
      </rPr>
      <t xml:space="preserve"> Emissions  (MMTCO</t>
    </r>
    <r>
      <rPr>
        <b/>
        <vertAlign val="subscript"/>
        <sz val="8"/>
        <color theme="1"/>
        <rFont val="Calibri"/>
        <family val="2"/>
      </rPr>
      <t>2</t>
    </r>
    <r>
      <rPr>
        <b/>
        <sz val="8"/>
        <color theme="1"/>
        <rFont val="Calibri"/>
        <family val="2"/>
      </rPr>
      <t>E)</t>
    </r>
  </si>
  <si>
    <t>Barley</t>
  </si>
  <si>
    <t>Corn</t>
  </si>
  <si>
    <t>'000 pounds</t>
  </si>
  <si>
    <t>'000 cwt</t>
  </si>
  <si>
    <t>Soybeans</t>
  </si>
  <si>
    <t>Sugarcane</t>
  </si>
  <si>
    <t>Wheat</t>
  </si>
  <si>
    <t>___________</t>
  </si>
  <si>
    <t>Agricultural Residue Burning N2O Emissions</t>
  </si>
  <si>
    <t>Fraction Residue Burned</t>
  </si>
  <si>
    <t>Nitrogen Content</t>
  </si>
  <si>
    <t>Total N Released  (metric tons)</t>
  </si>
  <si>
    <r>
      <rPr>
        <b/>
        <sz val="8"/>
        <color theme="1"/>
        <rFont val="Calibri"/>
        <family val="2"/>
      </rPr>
      <t>N</t>
    </r>
    <r>
      <rPr>
        <b/>
        <vertAlign val="subscript"/>
        <sz val="8"/>
        <color theme="1"/>
        <rFont val="Calibri"/>
        <family val="2"/>
      </rPr>
      <t>2</t>
    </r>
    <r>
      <rPr>
        <b/>
        <sz val="8"/>
        <color theme="1"/>
        <rFont val="Calibri"/>
        <family val="2"/>
      </rPr>
      <t>O Emissions  (metric tons)</t>
    </r>
  </si>
  <si>
    <r>
      <rPr>
        <b/>
        <sz val="8"/>
        <color theme="1"/>
        <rFont val="Calibri"/>
        <family val="2"/>
      </rPr>
      <t>N</t>
    </r>
    <r>
      <rPr>
        <b/>
        <vertAlign val="subscript"/>
        <sz val="8"/>
        <color theme="1"/>
        <rFont val="Calibri"/>
        <family val="2"/>
      </rPr>
      <t>2</t>
    </r>
    <r>
      <rPr>
        <b/>
        <sz val="8"/>
        <color theme="1"/>
        <rFont val="Calibri"/>
        <family val="2"/>
      </rPr>
      <t>O Emissions  (MMTCE)</t>
    </r>
  </si>
  <si>
    <r>
      <rPr>
        <b/>
        <sz val="8"/>
        <color theme="1"/>
        <rFont val="Calibri"/>
        <family val="2"/>
      </rPr>
      <t>N</t>
    </r>
    <r>
      <rPr>
        <b/>
        <vertAlign val="subscript"/>
        <sz val="8"/>
        <color theme="1"/>
        <rFont val="Calibri"/>
        <family val="2"/>
      </rPr>
      <t>2</t>
    </r>
    <r>
      <rPr>
        <b/>
        <sz val="8"/>
        <color theme="1"/>
        <rFont val="Calibri"/>
        <family val="2"/>
      </rPr>
      <t>O Emissions  (MMTCO</t>
    </r>
    <r>
      <rPr>
        <b/>
        <vertAlign val="subscript"/>
        <sz val="8"/>
        <color theme="1"/>
        <rFont val="Calibri"/>
        <family val="2"/>
      </rPr>
      <t>2</t>
    </r>
    <r>
      <rPr>
        <b/>
        <sz val="8"/>
        <color theme="1"/>
        <rFont val="Calibri"/>
        <family val="2"/>
      </rPr>
      <t>E)</t>
    </r>
  </si>
  <si>
    <t>TOTAL AGRICULTURE</t>
  </si>
  <si>
    <r>
      <rPr>
        <b/>
        <sz val="9"/>
        <color theme="1"/>
        <rFont val="Calibri"/>
        <family val="2"/>
      </rPr>
      <t>Emissions (MMTCO</t>
    </r>
    <r>
      <rPr>
        <b/>
        <vertAlign val="subscript"/>
        <sz val="9"/>
        <color theme="1"/>
        <rFont val="Calibri"/>
        <family val="2"/>
      </rPr>
      <t xml:space="preserve">2 </t>
    </r>
    <r>
      <rPr>
        <b/>
        <sz val="9"/>
        <color theme="1"/>
        <rFont val="Calibri"/>
        <family val="2"/>
      </rPr>
      <t>Eq.)</t>
    </r>
  </si>
  <si>
    <t>2006
MMTCO2E</t>
  </si>
  <si>
    <t>Ag Soils</t>
  </si>
  <si>
    <t>Rice Cultivation</t>
  </si>
  <si>
    <t>Agricultural Residue Burning</t>
  </si>
  <si>
    <t>Emissions by Gas 
(MMTCH4 or MMTN2O)</t>
  </si>
  <si>
    <t>Methane</t>
  </si>
  <si>
    <t>Nitrous Oxide</t>
  </si>
  <si>
    <t>Nitrous Oxide Emissions from Ag Soils (metric tons N2O)</t>
  </si>
  <si>
    <t>Direct</t>
  </si>
  <si>
    <t>Fertilizers</t>
  </si>
  <si>
    <t>Crop Residues</t>
  </si>
  <si>
    <t>N-Fixing Crops</t>
  </si>
  <si>
    <t>Histosols</t>
  </si>
  <si>
    <t>Livestock</t>
  </si>
  <si>
    <t>Indirect</t>
  </si>
  <si>
    <t>Leaching/Runoff</t>
  </si>
  <si>
    <t>https://research.fs.usda.gov/treesearch/80890</t>
  </si>
  <si>
    <t>https://www.fs.usda.gov/rds/archive/catalog/RDS-2026-0031</t>
  </si>
  <si>
    <t>FRF_net_flux_by_State.csv; FCL_net_flux_by_State.csv; LCF_net_flux_by_State.csv</t>
  </si>
  <si>
    <t>Aboveground Biomass</t>
  </si>
  <si>
    <t>Belowground Biomass</t>
  </si>
  <si>
    <t>Total Aboveground Biomass Flux</t>
  </si>
  <si>
    <t>Total Belowground Biomass Flux</t>
  </si>
  <si>
    <t>Calculated Belowground Biomass to Aboveground Biomass Ratio</t>
  </si>
  <si>
    <t>BGB:AGB ratio</t>
  </si>
  <si>
    <t>Total Synthetic Fertilizer Applied to Settlements
(metric tons N)</t>
  </si>
  <si>
    <t>N2O:N2 molecular weight ratio</t>
  </si>
  <si>
    <t>N2O Emissions (metric tons)</t>
  </si>
  <si>
    <t>N2O Emissions
(MMTCO2e)</t>
  </si>
  <si>
    <t>Data source: Maryland Department of Natural Resources (DNR) Annual Wildland Fire Report</t>
  </si>
  <si>
    <t>https://dnr.maryland.gov/forests/pages/fire/index.aspx</t>
  </si>
  <si>
    <t>Wildfires</t>
  </si>
  <si>
    <t>Area Burned (acres)</t>
  </si>
  <si>
    <t>Area Burned (hectares)</t>
  </si>
  <si>
    <t>Average Biomass Density (kg dry matter / ha)</t>
  </si>
  <si>
    <t>Combustion efficiency (other temperate forests) (%)</t>
  </si>
  <si>
    <t>CH4 Emission Factor (g/kg dry matter burned)</t>
  </si>
  <si>
    <t>CH4 Emissons (metric tons)</t>
  </si>
  <si>
    <t>CH4 Emissons (MMTCO2e)</t>
  </si>
  <si>
    <t>N2O Emission Factor (g/kg dry matter burned)</t>
  </si>
  <si>
    <t>N2O Emissons (metric tons)</t>
  </si>
  <si>
    <t>N2O Emissons (MMTCO2e)</t>
  </si>
  <si>
    <t>Prescribed Burns</t>
  </si>
  <si>
    <t>Combustion efficiency (shrublands) (%)</t>
  </si>
  <si>
    <t>Forest Fires Summary</t>
  </si>
  <si>
    <t>Total GHG Emissions (MMTCO2e)</t>
  </si>
  <si>
    <t>Total*</t>
  </si>
  <si>
    <t>*Accounts for carbon stored in Cropland Remaining Cropland, Land Converted to Cropland, Grassland Remaining Grassland, and Land Converted to Grassland</t>
  </si>
  <si>
    <t>Data source for wetland extent: National Oceanic and Atmospheric Administration (NOAA) Coastal Change Analysis Program’s (C-CAP) regional land cover data products for 2006, 2010, 2016, and 2021</t>
  </si>
  <si>
    <t>Data source for SAV extent: Virginia Institute of Marine Science (VIMS) SAV Survey</t>
  </si>
  <si>
    <t>Coastal Bays (Polyhaline) Estaurine Wetland</t>
  </si>
  <si>
    <t>Freshwater (Tidal Fresh) SAV</t>
  </si>
  <si>
    <t>Coastal Bays (Polyhaline) SAV</t>
  </si>
  <si>
    <t>Wetland Land-Use Change (from U.S. EPA National Inventory)</t>
  </si>
  <si>
    <t>2023*</t>
  </si>
  <si>
    <t>*available 2022 data</t>
  </si>
  <si>
    <t>Maryland GHG Emissions from the Product Use of Substitutes for Ozone Depleting Substances</t>
  </si>
  <si>
    <t>EPA State-Level Data</t>
  </si>
  <si>
    <t>Data source entity</t>
  </si>
  <si>
    <t>U.S. Environmental Protection Agency</t>
  </si>
  <si>
    <t>Data source name</t>
  </si>
  <si>
    <t>Inventory of U.S. Greenhouse Gas Emissions and Sinks by State: 1990-2022</t>
  </si>
  <si>
    <t>Data source product</t>
  </si>
  <si>
    <t>2024 All State GHG Inventory Data Workbook (AllStateGHGData90-22_v082924.xlsx)</t>
  </si>
  <si>
    <t>sector</t>
  </si>
  <si>
    <t>subsector</t>
  </si>
  <si>
    <t>Product uses as substitutes for ODS</t>
  </si>
  <si>
    <t>category</t>
  </si>
  <si>
    <t>Substitution of Ozone Depleting Substances</t>
  </si>
  <si>
    <t>geo_ref</t>
  </si>
  <si>
    <t>units</t>
  </si>
  <si>
    <t>Tg (MMTCO2e, GWP=100-yr AR5)</t>
  </si>
  <si>
    <t>sub_category_1</t>
  </si>
  <si>
    <t>ghg_category</t>
  </si>
  <si>
    <t>ghg</t>
  </si>
  <si>
    <t>gwp</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</si>
  <si>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</si>
  <si>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</si>
  <si>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</si>
  <si>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</si>
  <si>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</si>
  <si>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</si>
  <si>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</si>
  <si>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</si>
  <si>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</si>
  <si>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</si>
  <si>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</si>
  <si>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</si>
  <si>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</si>
  <si>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</si>
  <si>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</si>
  <si>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</si>
  <si>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</si>
  <si>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</si>
  <si>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</si>
  <si>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</si>
  <si>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</si>
  <si>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</si>
  <si>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</si>
  <si>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</si>
  <si>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</si>
  <si>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</si>
  <si>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</si>
  <si>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</si>
  <si>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</si>
  <si>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</si>
  <si>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</si>
  <si>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</si>
  <si>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</si>
  <si>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Fire protection</t>
  </si>
  <si>
    <t>Carbon Dioxide</t>
  </si>
  <si>
    <t>Foam blowing agents</t>
  </si>
  <si>
    <t>Refrigeration and air-conditioning</t>
  </si>
  <si>
    <t>HFC</t>
  </si>
  <si>
    <t>HFC-125</t>
  </si>
  <si>
    <t>HFC-134a</t>
  </si>
  <si>
    <t>Metered does inhalers</t>
  </si>
  <si>
    <t>Other Aerosols</t>
  </si>
  <si>
    <t>HFC-143a</t>
  </si>
  <si>
    <t>HFC-23</t>
  </si>
  <si>
    <t>HFC-236fa</t>
  </si>
  <si>
    <t>HFC-32</t>
  </si>
  <si>
    <t>Other HFC</t>
  </si>
  <si>
    <t>Solvents</t>
  </si>
  <si>
    <t>PFC</t>
  </si>
  <si>
    <t>Other PFC</t>
  </si>
  <si>
    <t>PFC-14 (Perfluoromethane)</t>
  </si>
  <si>
    <t>Notes About Other HFC and Other PFC</t>
  </si>
  <si>
    <t>Inventory of U.S. Greenhouse Gas Emissions and Sinks: 1990-2022</t>
  </si>
  <si>
    <t>2024 Chapter 4: Industrial Processes and Product Use (pdf) (2.23 MB, April 11, 2024, 430R24004)</t>
  </si>
  <si>
    <t>Table 4-125</t>
  </si>
  <si>
    <t>"Other Saturated HFCs represents an unspecified mix of saturated HFCs, which includes HFC-152a, HFC227ea, HFC-245fa, HFC-365mfc, and HFC-43-10mee</t>
  </si>
  <si>
    <t>Other PFCs and HFOs represents an unspecified mix of PFCs and HFOs, which includes HCFO-1233zd(E), HFO-1234yf, HFO-1234ze(E), HFO-1336mzz(Z), C4F10, and PFC/PFPEs, the latter being a proxy for a diverse</t>
  </si>
  <si>
    <t>collection of PFCs and perfluoropolyethers (PFPEs) employed for solvent applications. For estimating purposes, the GWP value used for PFC/PFPEs was based upon n-C6F14."</t>
  </si>
  <si>
    <t>Annex 3.9</t>
  </si>
  <si>
    <t>Other HFC and Other PFC are reported in aggregate due to confidentiality.</t>
  </si>
  <si>
    <t>Calculation of GWP Conversion Ratio</t>
  </si>
  <si>
    <t>Intergovernmental Panel on Climate Change</t>
  </si>
  <si>
    <t>Fifth Assessment Report; Sixth Assessment Report</t>
  </si>
  <si>
    <t>Chapter 8, Anthropogenic and Natural Radiative Forcing (AR5); Chapter 7, The Earth’s Energy Budget, Climate Feedbacks  and Climate Sensitivity (AR6)</t>
  </si>
  <si>
    <t>AR6 100-yr GWP</t>
  </si>
  <si>
    <t>Ratio of AR6 100-yr GWP : AR5 100-yr GWP</t>
  </si>
  <si>
    <t>HFC-152a</t>
  </si>
  <si>
    <t>HFC227ea</t>
  </si>
  <si>
    <t>HFC-245fa</t>
  </si>
  <si>
    <t>HFC-365mfc</t>
  </si>
  <si>
    <t>HFC-43-10mee</t>
  </si>
  <si>
    <t>C4F10</t>
  </si>
  <si>
    <t>n-C6F14</t>
  </si>
  <si>
    <t>Sixth Assessment Report</t>
  </si>
  <si>
    <t>The Physical Science Basis, Chapter 7 Supplementary Material, Table 7.SM.7</t>
  </si>
  <si>
    <t>AR6</t>
  </si>
  <si>
    <t>AR5</t>
  </si>
  <si>
    <t>Name</t>
  </si>
  <si>
    <t>Formula</t>
  </si>
  <si>
    <t>lifetime (yrs)</t>
  </si>
  <si>
    <t>lifetime (days)</t>
  </si>
  <si>
    <t>GWP20</t>
  </si>
  <si>
    <t>GWP100</t>
  </si>
  <si>
    <t>ratio</t>
  </si>
  <si>
    <t>HCFO-1233zd(E)</t>
  </si>
  <si>
    <t>(E)-CF3CH=CHCl</t>
  </si>
  <si>
    <t>(E)-1-Chloro-3,3,3trifluoroprop-1-ene</t>
  </si>
  <si>
    <t>trans-CF3 CH=CHCl</t>
  </si>
  <si>
    <t>HFO-1234yf</t>
  </si>
  <si>
    <t>CF3CF=CH2</t>
  </si>
  <si>
    <t>HFC-1234yf</t>
  </si>
  <si>
    <t>CF3 CF=CH2</t>
  </si>
  <si>
    <t>&lt;1</t>
  </si>
  <si>
    <t>HFO-1234ze(E)</t>
  </si>
  <si>
    <t>(E)-CF3CH=CHF</t>
  </si>
  <si>
    <t>(E)-HFC-1234ze</t>
  </si>
  <si>
    <t>trans-CF3 CH=CHF</t>
  </si>
  <si>
    <t>HFO-1336mzz(Z)</t>
  </si>
  <si>
    <t>(Z)-CF3CH=CHCF3</t>
  </si>
  <si>
    <t>(Z)-HFC-1336</t>
  </si>
  <si>
    <t>CF3 CH=CHCF3 (Z)</t>
  </si>
  <si>
    <t>Conversion From AR5 100-yr GWP to AR6 100-yr GWP</t>
  </si>
  <si>
    <t>GWP Conversion Ratio</t>
  </si>
  <si>
    <t>Emissions by Gas</t>
  </si>
  <si>
    <t>Total MMTCO2e</t>
  </si>
  <si>
    <t>Emissions by Subcategory</t>
  </si>
  <si>
    <t>AR6 20-yr GWP</t>
  </si>
  <si>
    <t>Ratio of 20-yr GWP : 100-yr GWP</t>
  </si>
  <si>
    <t>Conversion From AR5 100-yr GWP to AR6 20-yr GWP</t>
  </si>
  <si>
    <t>Ammonia and Urea</t>
  </si>
  <si>
    <t>Marine Vessels</t>
  </si>
  <si>
    <t>Limestone &amp; Dolomite; Soda Ash; Ammonia &amp; Urea; Electric Power T&amp;D Summary (MTCO2E)</t>
  </si>
  <si>
    <t>Fuel Type Category</t>
  </si>
  <si>
    <t>(MMTCO2e)</t>
  </si>
  <si>
    <t>Sector</t>
  </si>
  <si>
    <t>Subsector</t>
  </si>
  <si>
    <t>Category/Fuel</t>
  </si>
  <si>
    <t>MMTCO2e</t>
  </si>
  <si>
    <t>Electricity Use</t>
  </si>
  <si>
    <t>100-yr</t>
  </si>
  <si>
    <t>Net Imported Electricity</t>
  </si>
  <si>
    <t>20-yr</t>
  </si>
  <si>
    <t>Residential, Commercial, &amp; Industrial (RCI) Fuel Use</t>
  </si>
  <si>
    <t>On-road</t>
  </si>
  <si>
    <t>Non-road</t>
  </si>
  <si>
    <t>HFC, PFC, SF6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</si>
</sst>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41" formatCode="_(* #,##0_);_(* \(#,##0\);_(* &quot;-&quot;_);_(@_)"/>
    <numFmt numFmtId="43" formatCode="_(* #,##0.00_);_(* \(#,##0.00\);_(* &quot;-&quot;??_);_(@_)"/>
    <numFmt numFmtId="164" formatCode="#,##0.0"/>
    <numFmt numFmtId="165" formatCode="0.00000"/>
    <numFmt numFmtId="166" formatCode="0.0"/>
    <numFmt numFmtId="167" formatCode="0.0000"/>
    <numFmt numFmtId="168" formatCode="_(* #,##0_);_(* \(#,##0\);_(* &quot;-&quot;??_);_(@_)"/>
    <numFmt numFmtId="169" formatCode="_(* #,##0.000000_);_(* \(#,##0.000000\);_(* &quot;-&quot;??????_);_(@_)"/>
    <numFmt numFmtId="170" formatCode="_(* #,##0.00000_);_(* \(#,##0.00000\);_(* &quot;-&quot;??_);_(@_)"/>
    <numFmt numFmtId="171" formatCode="0.0%"/>
    <numFmt numFmtId="172" formatCode="0.000"/>
    <numFmt numFmtId="173" formatCode="_(* #,##0.000_);_(* \(#,##0.000\);_(* &quot;-&quot;??_);_(@_)"/>
    <numFmt numFmtId="174" formatCode="0.000000"/>
    <numFmt numFmtId="175" formatCode="_(* #,##0.0000_);_(* \(#,##0.0000\);_(* &quot;-&quot;??_);_(@_)"/>
    <numFmt numFmtId="176" formatCode="0.000000000"/>
    <numFmt numFmtId="177" formatCode="#,##0.00000_);\(#,##0.00000\)"/>
    <numFmt numFmtId="178" formatCode="0.0000000000"/>
    <numFmt numFmtId="179" formatCode="0.00000000"/>
    <numFmt numFmtId="180" formatCode="0.00_)"/>
    <numFmt numFmtId="181" formatCode="0_)"/>
    <numFmt numFmtId="182" formatCode="0.0000%"/>
    <numFmt numFmtId="183" formatCode="_(* #,##0.000000_);_(* \(#,##0.000000\);_(* &quot;-&quot;??_);_(@_)"/>
    <numFmt numFmtId="184" formatCode="_(* #,##0.0000000_);_(* \(#,##0.0000000\);_(* &quot;-&quot;??_);_(@_)"/>
    <numFmt numFmtId="185" formatCode="#,##0.000000_);\(#,##0.000000\)"/>
    <numFmt numFmtId="186" formatCode="0.000_)"/>
    <numFmt numFmtId="187" formatCode="_(* #,##0.00000000_);_(* \(#,##0.00000000\);_(* &quot;-&quot;??_);_(@_)"/>
    <numFmt numFmtId="188" formatCode="_(* #,##0.0_);_(* \(#,##0.0\);_(* &quot;-&quot;??_);_(@_)"/>
    <numFmt numFmtId="189" formatCode="#,##0.0000"/>
    <numFmt numFmtId="190" formatCode="#,##0.000000"/>
    <numFmt numFmtId="191" formatCode="0E+00"/>
    <numFmt numFmtId="192" formatCode="_(* #,##0.00000000_);_(* \(#,##0.00000000\);_(* &quot;-&quot;????????_);_(@_)"/>
    <numFmt numFmtId="193" formatCode="#,##0.000"/>
    <numFmt numFmtId="194" formatCode="0.00000000000000000%"/>
    <numFmt numFmtId="195" formatCode="0_);\(0\)"/>
    <numFmt numFmtId="196" formatCode="0.0000000"/>
    <numFmt numFmtId="197" formatCode="#,##0.0000000"/>
  </numFmts>
  <fonts count="175" x14ac:knownFonts="1">
    <font>
      <sz val="8"/>
      <color rgb="FF000000"/>
      <name val="Calibri"/>
      <scheme val="minor"/>
    </font>
    <font>
      <b/>
      <sz val="14"/>
      <color rgb="FF000000"/>
      <name val="Calibri"/>
      <family val="2"/>
    </font>
    <font>
      <sz val="8"/>
      <color rgb="FF000000"/>
      <name val="Arial"/>
      <family val="2"/>
    </font>
    <font>
      <sz val="11"/>
      <color theme="1"/>
      <name val="Calibri"/>
      <family val="2"/>
    </font>
    <font>
      <sz val="8"/>
      <color theme="1"/>
      <name val="Calibri"/>
      <family val="2"/>
    </font>
    <font>
      <sz val="9"/>
      <color theme="1"/>
      <name val="Calibri"/>
      <family val="2"/>
    </font>
    <font>
      <sz val="8"/>
      <name val="Calibri"/>
      <family val="2"/>
    </font>
    <font>
      <sz val="7"/>
      <color theme="1"/>
      <name val="Arial"/>
      <family val="2"/>
    </font>
    <font>
      <sz val="14"/>
      <color theme="1"/>
      <name val="Comic Sans MS"/>
      <family val="4"/>
    </font>
    <font>
      <sz val="8"/>
      <color rgb="FF000000"/>
      <name val="Calibri"/>
      <family val="2"/>
    </font>
    <font>
      <i/>
      <sz val="26"/>
      <color theme="1"/>
      <name val="Engravers MT"/>
      <family val="1"/>
    </font>
    <font>
      <b/>
      <sz val="11"/>
      <color rgb="FFFFFFFF"/>
      <name val="Calibri"/>
      <family val="2"/>
    </font>
    <font>
      <b/>
      <sz val="11"/>
      <color theme="1"/>
      <name val="Calibri"/>
      <family val="2"/>
    </font>
    <font>
      <b/>
      <sz val="16"/>
      <color rgb="FF0000FF"/>
      <name val="Calibri"/>
      <family val="2"/>
    </font>
    <font>
      <sz val="10"/>
      <color theme="1"/>
      <name val="Calibri"/>
      <family val="2"/>
    </font>
    <font>
      <sz val="10"/>
      <color rgb="FF000080"/>
      <name val="Comic Sans MS"/>
      <family val="4"/>
    </font>
    <font>
      <sz val="10"/>
      <color rgb="FFFF0000"/>
      <name val="Arial"/>
      <family val="2"/>
    </font>
    <font>
      <sz val="10"/>
      <color theme="1"/>
      <name val="Arial"/>
      <family val="2"/>
    </font>
    <font>
      <b/>
      <sz val="10"/>
      <color theme="1"/>
      <name val="Calibri"/>
      <family val="2"/>
    </font>
    <font>
      <sz val="8"/>
      <color theme="1"/>
      <name val="Arial"/>
      <family val="2"/>
    </font>
    <font>
      <b/>
      <sz val="10"/>
      <color rgb="FFFF0000"/>
      <name val="Calibri"/>
      <family val="2"/>
    </font>
    <font>
      <b/>
      <sz val="10"/>
      <color theme="1"/>
      <name val="Open Sans"/>
      <family val="2"/>
    </font>
    <font>
      <sz val="10"/>
      <color rgb="FF0000FF"/>
      <name val="Arial"/>
      <family val="2"/>
    </font>
    <font>
      <b/>
      <sz val="10"/>
      <color theme="1"/>
      <name val="Arial"/>
      <family val="2"/>
    </font>
    <font>
      <i/>
      <sz val="11"/>
      <color theme="1"/>
      <name val="Calibri"/>
      <family val="2"/>
    </font>
    <font>
      <b/>
      <sz val="10"/>
      <color rgb="FF0000FF"/>
      <name val="Open Sans"/>
      <family val="2"/>
    </font>
    <font>
      <sz val="10"/>
      <color rgb="FF0000FF"/>
      <name val="Open Sans"/>
      <family val="2"/>
    </font>
    <font>
      <b/>
      <sz val="10"/>
      <color rgb="FFFF0000"/>
      <name val="Arial"/>
      <family val="2"/>
    </font>
    <font>
      <b/>
      <sz val="10"/>
      <color rgb="FFFF0000"/>
      <name val="Open Sans"/>
      <family val="2"/>
    </font>
    <font>
      <sz val="10"/>
      <color rgb="FFFF0000"/>
      <name val="Open Sans"/>
      <family val="2"/>
    </font>
    <font>
      <b/>
      <sz val="10"/>
      <color rgb="FF993366"/>
      <name val="Open Sans"/>
      <family val="2"/>
    </font>
    <font>
      <sz val="10"/>
      <color rgb="FF993366"/>
      <name val="Open Sans"/>
      <family val="2"/>
    </font>
    <font>
      <b/>
      <sz val="10"/>
      <color rgb="FF000000"/>
      <name val="Arial"/>
      <family val="2"/>
    </font>
    <font>
      <sz val="10"/>
      <color rgb="FF000000"/>
      <name val="Arial"/>
      <family val="2"/>
    </font>
    <font>
      <b/>
      <sz val="10"/>
      <color rgb="FF008000"/>
      <name val="Arial"/>
      <family val="2"/>
    </font>
    <font>
      <b/>
      <sz val="8"/>
      <color theme="1"/>
      <name val="Open Sans"/>
      <family val="2"/>
    </font>
    <font>
      <sz val="10"/>
      <color rgb="FFFF0000"/>
      <name val="Calibri"/>
      <family val="2"/>
    </font>
    <font>
      <b/>
      <sz val="10"/>
      <color rgb="FF0000FF"/>
      <name val="Arial"/>
      <family val="2"/>
    </font>
    <font>
      <b/>
      <sz val="14"/>
      <color rgb="FF0000FF"/>
      <name val="Calibri"/>
      <family val="2"/>
    </font>
    <font>
      <sz val="14"/>
      <color theme="1"/>
      <name val="Calibri"/>
      <family val="2"/>
    </font>
    <font>
      <sz val="10"/>
      <color rgb="FF000000"/>
      <name val="Calibri"/>
      <family val="2"/>
    </font>
    <font>
      <b/>
      <sz val="10"/>
      <color rgb="FF000000"/>
      <name val="Calibri"/>
      <family val="2"/>
    </font>
    <font>
      <b/>
      <sz val="12"/>
      <color rgb="FF008000"/>
      <name val="Arial"/>
      <family val="2"/>
    </font>
    <font>
      <b/>
      <sz val="11"/>
      <color rgb="FF008000"/>
      <name val="Arial"/>
      <family val="2"/>
    </font>
    <font>
      <sz val="8"/>
      <color theme="1"/>
      <name val="Comic Sans MS"/>
      <family val="4"/>
    </font>
    <font>
      <sz val="8"/>
      <color rgb="FF000000"/>
      <name val="Comic Sans MS"/>
      <family val="4"/>
    </font>
    <font>
      <sz val="11"/>
      <color rgb="FFFF0000"/>
      <name val="Calibri"/>
      <family val="2"/>
    </font>
    <font>
      <b/>
      <sz val="7"/>
      <color theme="1"/>
      <name val="Comic Sans MS"/>
      <family val="4"/>
    </font>
    <font>
      <sz val="7"/>
      <color theme="1"/>
      <name val="Comic Sans MS"/>
      <family val="4"/>
    </font>
    <font>
      <b/>
      <sz val="8"/>
      <color theme="1"/>
      <name val="Calibri"/>
      <family val="2"/>
    </font>
    <font>
      <b/>
      <sz val="8"/>
      <color theme="1"/>
      <name val="Arial"/>
      <family val="2"/>
    </font>
    <font>
      <sz val="14"/>
      <color rgb="FF000000"/>
      <name val="Comic Sans MS"/>
      <family val="4"/>
    </font>
    <font>
      <b/>
      <sz val="7"/>
      <color theme="1"/>
      <name val="Arial"/>
      <family val="2"/>
    </font>
    <font>
      <b/>
      <sz val="10"/>
      <color rgb="FF000000"/>
      <name val="Comic Sans MS"/>
      <family val="4"/>
    </font>
    <font>
      <b/>
      <sz val="10"/>
      <color theme="1"/>
      <name val="Comic Sans MS"/>
      <family val="4"/>
    </font>
    <font>
      <sz val="10"/>
      <color rgb="FF000000"/>
      <name val="Comic Sans MS"/>
      <family val="4"/>
    </font>
    <font>
      <sz val="10"/>
      <color theme="1"/>
      <name val="Comic Sans MS"/>
      <family val="4"/>
    </font>
    <font>
      <b/>
      <sz val="8"/>
      <color rgb="FF000000"/>
      <name val="Arial"/>
      <family val="2"/>
    </font>
    <font>
      <sz val="8"/>
      <color rgb="FFFF0000"/>
      <name val="Arial"/>
      <family val="2"/>
    </font>
    <font>
      <b/>
      <sz val="7"/>
      <color rgb="FF000000"/>
      <name val="Comic Sans MS"/>
      <family val="4"/>
    </font>
    <font>
      <sz val="7"/>
      <color rgb="FF000000"/>
      <name val="Comic Sans MS"/>
      <family val="4"/>
    </font>
    <font>
      <b/>
      <sz val="14"/>
      <color theme="1"/>
      <name val="Calibri"/>
      <family val="2"/>
    </font>
    <font>
      <b/>
      <sz val="8"/>
      <color theme="1"/>
      <name val="Comic Sans MS"/>
      <family val="4"/>
    </font>
    <font>
      <b/>
      <sz val="7"/>
      <color rgb="FFFF0000"/>
      <name val="Comic Sans MS"/>
      <family val="4"/>
    </font>
    <font>
      <sz val="7"/>
      <color rgb="FFFF0000"/>
      <name val="Comic Sans MS"/>
      <family val="4"/>
    </font>
    <font>
      <b/>
      <sz val="14"/>
      <color theme="1"/>
      <name val="Comic Sans MS"/>
      <family val="4"/>
    </font>
    <font>
      <sz val="10"/>
      <color rgb="FFFFFFFF"/>
      <name val="Calibri"/>
      <family val="2"/>
    </font>
    <font>
      <b/>
      <sz val="7"/>
      <color theme="1"/>
      <name val="Calibri"/>
      <family val="2"/>
    </font>
    <font>
      <sz val="7"/>
      <color theme="1"/>
      <name val="Calibri"/>
      <family val="2"/>
    </font>
    <font>
      <b/>
      <i/>
      <sz val="7"/>
      <color theme="1"/>
      <name val="Calibri"/>
      <family val="2"/>
    </font>
    <font>
      <sz val="14"/>
      <color rgb="FF000000"/>
      <name val="Calibri"/>
      <family val="2"/>
    </font>
    <font>
      <b/>
      <sz val="14"/>
      <color rgb="FF000080"/>
      <name val="Calibri"/>
      <family val="2"/>
    </font>
    <font>
      <i/>
      <sz val="8"/>
      <color theme="1"/>
      <name val="Calibri"/>
      <family val="2"/>
    </font>
    <font>
      <b/>
      <sz val="8"/>
      <color rgb="FFFF0000"/>
      <name val="Comic Sans MS"/>
      <family val="4"/>
    </font>
    <font>
      <b/>
      <sz val="8"/>
      <color rgb="FFFF0000"/>
      <name val="Arial"/>
      <family val="2"/>
    </font>
    <font>
      <sz val="7"/>
      <color rgb="FF000000"/>
      <name val="Arial"/>
      <family val="2"/>
    </font>
    <font>
      <sz val="7"/>
      <color rgb="FFFFFFFF"/>
      <name val="Arial"/>
      <family val="2"/>
    </font>
    <font>
      <b/>
      <sz val="10"/>
      <color rgb="FFFFFFFF"/>
      <name val="Calibri"/>
      <family val="2"/>
    </font>
    <font>
      <i/>
      <sz val="10"/>
      <color theme="1"/>
      <name val="Calibri"/>
      <family val="2"/>
    </font>
    <font>
      <b/>
      <sz val="9"/>
      <color theme="1"/>
      <name val="Calibri"/>
      <family val="2"/>
    </font>
    <font>
      <b/>
      <sz val="9"/>
      <color rgb="FF000000"/>
      <name val="Calibri"/>
      <family val="2"/>
    </font>
    <font>
      <sz val="8"/>
      <color rgb="FF0000FF"/>
      <name val="Arial"/>
      <family val="2"/>
    </font>
    <font>
      <sz val="10"/>
      <color theme="1"/>
      <name val="Times New Roman"/>
      <family val="1"/>
    </font>
    <font>
      <b/>
      <sz val="10"/>
      <color theme="1"/>
      <name val="Times New Roman"/>
      <family val="1"/>
    </font>
    <font>
      <b/>
      <sz val="10"/>
      <color rgb="FFFFFFFF"/>
      <name val="Times New Roman"/>
      <family val="1"/>
    </font>
    <font>
      <sz val="12"/>
      <color theme="1"/>
      <name val="Comic Sans MS"/>
      <family val="4"/>
    </font>
    <font>
      <sz val="7"/>
      <color theme="1"/>
      <name val="Batang"/>
      <family val="1"/>
      <charset val="129"/>
    </font>
    <font>
      <sz val="18"/>
      <color theme="1"/>
      <name val="Arial"/>
      <family val="2"/>
    </font>
    <font>
      <sz val="9"/>
      <color theme="1"/>
      <name val="Comic Sans MS"/>
      <family val="4"/>
    </font>
    <font>
      <sz val="9"/>
      <color rgb="FFFF0000"/>
      <name val="Comic Sans MS"/>
      <family val="4"/>
    </font>
    <font>
      <sz val="9"/>
      <color theme="1"/>
      <name val="Arial"/>
      <family val="2"/>
    </font>
    <font>
      <sz val="11"/>
      <color theme="1"/>
      <name val="Arial"/>
      <family val="2"/>
    </font>
    <font>
      <sz val="18"/>
      <color theme="1"/>
      <name val="Roboto"/>
    </font>
    <font>
      <b/>
      <sz val="8"/>
      <color rgb="FF000000"/>
      <name val="Calibri"/>
      <family val="2"/>
    </font>
    <font>
      <b/>
      <sz val="9"/>
      <color theme="1"/>
      <name val="Arial"/>
      <family val="2"/>
    </font>
    <font>
      <sz val="7"/>
      <color rgb="FFFFFFFF"/>
      <name val="Comic Sans MS"/>
      <family val="4"/>
    </font>
    <font>
      <b/>
      <sz val="14"/>
      <color rgb="FF000080"/>
      <name val="Comic Sans MS"/>
      <family val="4"/>
    </font>
    <font>
      <sz val="14"/>
      <color theme="1"/>
      <name val="Arial"/>
      <family val="2"/>
    </font>
    <font>
      <b/>
      <sz val="12"/>
      <color rgb="FF000000"/>
      <name val="Comic Sans MS"/>
      <family val="4"/>
    </font>
    <font>
      <sz val="8"/>
      <color theme="1"/>
      <name val="Calibri"/>
      <family val="2"/>
      <scheme val="minor"/>
    </font>
    <font>
      <sz val="11"/>
      <color rgb="FF0000FF"/>
      <name val="Calibri"/>
      <family val="2"/>
    </font>
    <font>
      <b/>
      <sz val="11"/>
      <color theme="1"/>
      <name val="Comic Sans MS"/>
      <family val="4"/>
    </font>
    <font>
      <b/>
      <sz val="8"/>
      <color theme="1"/>
      <name val="Calibri"/>
      <family val="2"/>
    </font>
    <font>
      <b/>
      <sz val="8"/>
      <color theme="1"/>
      <name val="Comic Sans MS"/>
      <family val="4"/>
    </font>
    <font>
      <sz val="8"/>
      <color theme="1"/>
      <name val="Comic Sans MS"/>
      <family val="4"/>
    </font>
    <font>
      <sz val="10"/>
      <color rgb="FFFFFFFF"/>
      <name val="Arial"/>
      <family val="2"/>
    </font>
    <font>
      <sz val="8"/>
      <color rgb="FFFF0000"/>
      <name val="Calibri"/>
      <family val="2"/>
    </font>
    <font>
      <b/>
      <sz val="11"/>
      <color rgb="FF1155CC"/>
      <name val="Calibri"/>
      <family val="2"/>
    </font>
    <font>
      <i/>
      <sz val="9"/>
      <color theme="1"/>
      <name val="Calibri"/>
      <family val="2"/>
    </font>
    <font>
      <b/>
      <sz val="10"/>
      <color rgb="FFFF6600"/>
      <name val="Arial"/>
      <family val="2"/>
    </font>
    <font>
      <sz val="8"/>
      <color rgb="FFFFFFFF"/>
      <name val="Calibri"/>
      <family val="2"/>
    </font>
    <font>
      <b/>
      <vertAlign val="subscript"/>
      <sz val="11"/>
      <color rgb="FFFFFFFF"/>
      <name val="Calibri"/>
      <family val="2"/>
    </font>
    <font>
      <vertAlign val="subscript"/>
      <sz val="11"/>
      <color theme="1"/>
      <name val="Calibri"/>
      <family val="2"/>
    </font>
    <font>
      <b/>
      <vertAlign val="subscript"/>
      <sz val="10"/>
      <color theme="1"/>
      <name val="Arial"/>
      <family val="2"/>
    </font>
    <font>
      <b/>
      <sz val="10"/>
      <color rgb="FF339966"/>
      <name val="MS Sans Serif"/>
    </font>
    <font>
      <b/>
      <sz val="10"/>
      <color theme="1"/>
      <name val="MS Sans Serif"/>
    </font>
    <font>
      <b/>
      <sz val="10"/>
      <color rgb="FF0000FF"/>
      <name val="MS Sans Serif"/>
    </font>
    <font>
      <sz val="10"/>
      <color rgb="FF0000FF"/>
      <name val="MS Sans Serif"/>
    </font>
    <font>
      <sz val="10"/>
      <color theme="1"/>
      <name val="MS Sans Serif"/>
    </font>
    <font>
      <sz val="10"/>
      <color rgb="FFFF0000"/>
      <name val="MS Sans Serif"/>
    </font>
    <font>
      <sz val="10"/>
      <color rgb="FF993366"/>
      <name val="MS Sans Serif"/>
    </font>
    <font>
      <sz val="10"/>
      <color rgb="FF339966"/>
      <name val="MS Sans Serif"/>
    </font>
    <font>
      <vertAlign val="subscript"/>
      <sz val="10"/>
      <color theme="1"/>
      <name val="MS Sans Serif"/>
    </font>
    <font>
      <b/>
      <vertAlign val="subscript"/>
      <sz val="8"/>
      <color theme="1"/>
      <name val="MS Sans Serif"/>
    </font>
    <font>
      <b/>
      <vertAlign val="subscript"/>
      <sz val="10"/>
      <color theme="1"/>
      <name val="MS Sans Serif"/>
    </font>
    <font>
      <b/>
      <vertAlign val="subscript"/>
      <sz val="10"/>
      <color rgb="FF000000"/>
      <name val="Calibri"/>
      <family val="2"/>
    </font>
    <font>
      <b/>
      <vertAlign val="subscript"/>
      <sz val="10"/>
      <color theme="1"/>
      <name val="Calibri"/>
      <family val="2"/>
    </font>
    <font>
      <vertAlign val="subscript"/>
      <sz val="14"/>
      <color theme="1"/>
      <name val="Comic Sans MS"/>
      <family val="4"/>
    </font>
    <font>
      <b/>
      <vertAlign val="subscript"/>
      <sz val="7"/>
      <color theme="1"/>
      <name val="Comic Sans MS"/>
      <family val="4"/>
    </font>
    <font>
      <b/>
      <vertAlign val="subscript"/>
      <sz val="8"/>
      <color theme="1"/>
      <name val="Arial"/>
      <family val="2"/>
    </font>
    <font>
      <vertAlign val="subscript"/>
      <sz val="14"/>
      <color rgb="FF000000"/>
      <name val="Comic Sans MS"/>
      <family val="4"/>
    </font>
    <font>
      <b/>
      <vertAlign val="subscript"/>
      <sz val="10"/>
      <color theme="1"/>
      <name val="Comic Sans MS"/>
      <family val="4"/>
    </font>
    <font>
      <b/>
      <vertAlign val="subscript"/>
      <sz val="8"/>
      <color theme="1"/>
      <name val="Comic Sans MS"/>
      <family val="4"/>
    </font>
    <font>
      <vertAlign val="subscript"/>
      <sz val="8"/>
      <color theme="1"/>
      <name val="Comic Sans MS"/>
      <family val="4"/>
    </font>
    <font>
      <i/>
      <sz val="10"/>
      <color theme="1"/>
      <name val="Arial"/>
      <family val="2"/>
    </font>
    <font>
      <vertAlign val="subscript"/>
      <sz val="7"/>
      <color theme="1"/>
      <name val="Comic Sans MS"/>
      <family val="4"/>
    </font>
    <font>
      <b/>
      <vertAlign val="subscript"/>
      <sz val="7"/>
      <color theme="1"/>
      <name val="Calibri"/>
      <family val="2"/>
    </font>
    <font>
      <b/>
      <vertAlign val="superscript"/>
      <sz val="7"/>
      <color theme="1"/>
      <name val="Calibri"/>
      <family val="2"/>
    </font>
    <font>
      <b/>
      <vertAlign val="subscript"/>
      <sz val="8"/>
      <color rgb="FF000000"/>
      <name val="Arial"/>
      <family val="2"/>
    </font>
    <font>
      <vertAlign val="subscript"/>
      <sz val="10"/>
      <color theme="1"/>
      <name val="Arial"/>
      <family val="2"/>
    </font>
    <font>
      <vertAlign val="subscript"/>
      <sz val="10"/>
      <color rgb="FFFF0000"/>
      <name val="Arial"/>
      <family val="2"/>
    </font>
    <font>
      <b/>
      <vertAlign val="superscript"/>
      <sz val="10"/>
      <color rgb="FFFFFFFF"/>
      <name val="Calibri"/>
      <family val="2"/>
    </font>
    <font>
      <b/>
      <i/>
      <sz val="10"/>
      <color rgb="FFFFFFFF"/>
      <name val="Calibri"/>
      <family val="2"/>
    </font>
    <font>
      <vertAlign val="subscript"/>
      <sz val="8"/>
      <color theme="1"/>
      <name val="Arial"/>
      <family val="2"/>
    </font>
    <font>
      <b/>
      <vertAlign val="subscript"/>
      <sz val="9"/>
      <color theme="1"/>
      <name val="Calibri"/>
      <family val="2"/>
    </font>
    <font>
      <b/>
      <vertAlign val="subscript"/>
      <sz val="10"/>
      <color theme="1"/>
      <name val="Times New Roman"/>
      <family val="1"/>
    </font>
    <font>
      <b/>
      <vertAlign val="subscript"/>
      <sz val="7"/>
      <color theme="1"/>
      <name val="Arial"/>
      <family val="2"/>
    </font>
    <font>
      <b/>
      <vertAlign val="superscript"/>
      <sz val="7"/>
      <color theme="1"/>
      <name val="Comic Sans MS"/>
      <family val="4"/>
    </font>
    <font>
      <b/>
      <vertAlign val="superscript"/>
      <sz val="10"/>
      <color theme="1"/>
      <name val="Arial"/>
      <family val="2"/>
    </font>
    <font>
      <b/>
      <vertAlign val="subscript"/>
      <sz val="9"/>
      <color theme="1"/>
      <name val="Arial"/>
      <family val="2"/>
    </font>
    <font>
      <b/>
      <vertAlign val="subscript"/>
      <sz val="11"/>
      <color theme="1"/>
      <name val="Calibri"/>
      <family val="2"/>
    </font>
    <font>
      <b/>
      <vertAlign val="subscript"/>
      <sz val="11"/>
      <color rgb="FF000000"/>
      <name val="Comic Sans MS"/>
      <family val="4"/>
    </font>
    <font>
      <b/>
      <sz val="11"/>
      <color rgb="FF000000"/>
      <name val="Comic Sans MS"/>
      <family val="4"/>
    </font>
    <font>
      <vertAlign val="superscript"/>
      <sz val="10"/>
      <color theme="1"/>
      <name val="Comic Sans MS"/>
      <family val="4"/>
    </font>
    <font>
      <vertAlign val="subscript"/>
      <sz val="10"/>
      <color theme="1"/>
      <name val="Comic Sans MS"/>
      <family val="4"/>
    </font>
    <font>
      <sz val="11"/>
      <color rgb="FF1155CC"/>
      <name val="Calibri"/>
      <family val="2"/>
    </font>
    <font>
      <b/>
      <vertAlign val="subscript"/>
      <sz val="8"/>
      <color theme="1"/>
      <name val="Calibri"/>
      <family val="2"/>
    </font>
    <font>
      <b/>
      <vertAlign val="subscript"/>
      <sz val="10"/>
      <color rgb="FFFF6600"/>
      <name val="Arial"/>
      <family val="2"/>
    </font>
    <font>
      <b/>
      <vertAlign val="subscript"/>
      <sz val="10"/>
      <color rgb="FFFF0000"/>
      <name val="Arial"/>
      <family val="2"/>
    </font>
    <font>
      <vertAlign val="subscript"/>
      <sz val="8"/>
      <color theme="1"/>
      <name val="Calibri"/>
      <family val="2"/>
    </font>
    <font>
      <b/>
      <sz val="12"/>
      <color theme="1"/>
      <name val="Calibri"/>
      <family val="2"/>
    </font>
    <font>
      <sz val="12"/>
      <name val="Calibri"/>
      <family val="2"/>
    </font>
    <font>
      <sz val="9"/>
      <color rgb="FF000000"/>
      <name val="Calibri"/>
      <family val="2"/>
    </font>
    <font>
      <u/>
      <sz val="9"/>
      <color rgb="FF0000FF"/>
      <name val="Calibri"/>
      <family val="2"/>
    </font>
    <font>
      <sz val="9"/>
      <color rgb="FF0563C1"/>
      <name val="Calibri"/>
      <family val="2"/>
    </font>
    <font>
      <sz val="9"/>
      <color rgb="FFFF0000"/>
      <name val="Calibri"/>
      <family val="2"/>
    </font>
    <font>
      <sz val="11"/>
      <color rgb="FF000000"/>
      <name val="Calibri"/>
      <family val="2"/>
    </font>
    <font>
      <b/>
      <sz val="11"/>
      <color theme="0"/>
      <name val="Calibri"/>
      <family val="2"/>
    </font>
    <font>
      <b/>
      <sz val="11"/>
      <color theme="0"/>
      <name val="Calibri"/>
      <family val="2"/>
    </font>
    <font>
      <b/>
      <sz val="11"/>
      <color theme="8"/>
      <name val="Calibri"/>
      <family val="2"/>
    </font>
    <font>
      <sz val="8"/>
      <color rgb="FF000000"/>
      <name val="Calibri"/>
      <family val="2"/>
      <scheme val="minor"/>
    </font>
    <font>
      <sz val="10"/>
      <color theme="1"/>
      <name val="Calibri"/>
      <family val="2"/>
      <scheme val="minor"/>
    </font>
    <font>
      <b/>
      <sz val="10"/>
      <color theme="1"/>
      <name val="Calibri"/>
      <family val="2"/>
      <scheme val="minor"/>
    </font>
    <font>
      <sz val="10"/>
      <color theme="1"/>
      <name val="Calibri"/>
      <family val="2"/>
      <scheme val="major"/>
    </font>
    <font>
      <b/>
      <sz val="10"/>
      <color theme="1"/>
      <name val="Calibri"/>
      <family val="2"/>
      <scheme val="major"/>
    </font>
  </fonts>
  <fills count="38">
    <fill>
      <patternFill patternType="none"/>
    </fill>
    <fill>
      <patternFill patternType="gray125"/>
    </fill>
    <fill>
      <patternFill patternType="solid">
        <fgColor rgb="FFFFFFFF"/>
        <bgColor rgb="FFFFFFFF"/>
      </patternFill>
    </fill>
    <fill>
      <patternFill patternType="solid">
        <fgColor rgb="FF333333"/>
        <bgColor rgb="FF333333"/>
      </patternFill>
    </fill>
    <fill>
      <patternFill patternType="solid">
        <fgColor rgb="FFFFFF99"/>
        <bgColor rgb="FFFFFF99"/>
      </patternFill>
    </fill>
    <fill>
      <patternFill patternType="solid">
        <fgColor rgb="FFFFFF00"/>
        <bgColor rgb="FFFFFF00"/>
      </patternFill>
    </fill>
    <fill>
      <patternFill patternType="solid">
        <fgColor rgb="FFCCFFFF"/>
        <bgColor rgb="FFCCFFFF"/>
      </patternFill>
    </fill>
    <fill>
      <patternFill patternType="solid">
        <fgColor rgb="FFC0C0C0"/>
        <bgColor rgb="FFC0C0C0"/>
      </patternFill>
    </fill>
    <fill>
      <patternFill patternType="solid">
        <fgColor rgb="FFFF99CC"/>
        <bgColor rgb="FFFF99CC"/>
      </patternFill>
    </fill>
    <fill>
      <patternFill patternType="solid">
        <fgColor rgb="FFCCFFCC"/>
        <bgColor rgb="FFCCFFCC"/>
      </patternFill>
    </fill>
    <fill>
      <patternFill patternType="solid">
        <fgColor rgb="FF00CCFF"/>
        <bgColor rgb="FF00CCFF"/>
      </patternFill>
    </fill>
    <fill>
      <patternFill patternType="solid">
        <fgColor rgb="FFFF6600"/>
        <bgColor rgb="FFFF6600"/>
      </patternFill>
    </fill>
    <fill>
      <patternFill patternType="solid">
        <fgColor rgb="FFFFCC99"/>
        <bgColor rgb="FFFFCC99"/>
      </patternFill>
    </fill>
    <fill>
      <patternFill patternType="solid">
        <fgColor rgb="FF339966"/>
        <bgColor rgb="FF339966"/>
      </patternFill>
    </fill>
    <fill>
      <patternFill patternType="solid">
        <fgColor rgb="FFCC99FF"/>
        <bgColor rgb="FFCC99FF"/>
      </patternFill>
    </fill>
    <fill>
      <patternFill patternType="solid">
        <fgColor rgb="FFBFBFBF"/>
        <bgColor rgb="FFBFBFBF"/>
      </patternFill>
    </fill>
    <fill>
      <patternFill patternType="solid">
        <fgColor rgb="FFCCCCCC"/>
        <bgColor rgb="FFCCCCCC"/>
      </patternFill>
    </fill>
    <fill>
      <patternFill patternType="solid">
        <fgColor rgb="FF666699"/>
        <bgColor rgb="FF666699"/>
      </patternFill>
    </fill>
    <fill>
      <patternFill patternType="solid">
        <fgColor rgb="FF99CCFF"/>
        <bgColor rgb="FF99CCFF"/>
      </patternFill>
    </fill>
    <fill>
      <patternFill patternType="solid">
        <fgColor rgb="FF999999"/>
        <bgColor rgb="FF999999"/>
      </patternFill>
    </fill>
    <fill>
      <patternFill patternType="solid">
        <fgColor rgb="FFB7B7B7"/>
        <bgColor rgb="FFB7B7B7"/>
      </patternFill>
    </fill>
    <fill>
      <patternFill patternType="solid">
        <fgColor rgb="FFFFCC00"/>
        <bgColor rgb="FFFFCC00"/>
      </patternFill>
    </fill>
    <fill>
      <patternFill patternType="solid">
        <fgColor rgb="FF33CCCC"/>
        <bgColor rgb="FF33CCCC"/>
      </patternFill>
    </fill>
    <fill>
      <patternFill patternType="solid">
        <fgColor rgb="FFD8D8D8"/>
        <bgColor rgb="FFD8D8D8"/>
      </patternFill>
    </fill>
    <fill>
      <patternFill patternType="solid">
        <fgColor rgb="FFA4C2F4"/>
        <bgColor rgb="FFA4C2F4"/>
      </patternFill>
    </fill>
    <fill>
      <patternFill patternType="solid">
        <fgColor rgb="FFFCE4D6"/>
        <bgColor rgb="FFFCE4D6"/>
      </patternFill>
    </fill>
    <fill>
      <patternFill patternType="solid">
        <fgColor rgb="FFCFE2F3"/>
        <bgColor rgb="FFCFE2F3"/>
      </patternFill>
    </fill>
    <fill>
      <patternFill patternType="solid">
        <fgColor rgb="FF00FF00"/>
        <bgColor rgb="FF00FF00"/>
      </patternFill>
    </fill>
    <fill>
      <patternFill patternType="solid">
        <fgColor rgb="FF99CC00"/>
        <bgColor rgb="FF99CC00"/>
      </patternFill>
    </fill>
    <fill>
      <patternFill patternType="solid">
        <fgColor rgb="FFFFF2CC"/>
        <bgColor rgb="FFFFF2CC"/>
      </patternFill>
    </fill>
    <fill>
      <patternFill patternType="solid">
        <fgColor rgb="FFFFE599"/>
        <bgColor rgb="FFFFE599"/>
      </patternFill>
    </fill>
    <fill>
      <patternFill patternType="solid">
        <fgColor rgb="FFF4CCCC"/>
        <bgColor rgb="FFF4CCCC"/>
      </patternFill>
    </fill>
    <fill>
      <patternFill patternType="solid">
        <fgColor rgb="FFFCE5CD"/>
        <bgColor rgb="FFFCE5CD"/>
      </patternFill>
    </fill>
    <fill>
      <patternFill patternType="solid">
        <fgColor rgb="FFEAD1DC"/>
        <bgColor rgb="FFEAD1DC"/>
      </patternFill>
    </fill>
    <fill>
      <patternFill patternType="solid">
        <fgColor rgb="FFD9EAD3"/>
        <bgColor rgb="FFD9EAD3"/>
      </patternFill>
    </fill>
    <fill>
      <patternFill patternType="solid">
        <fgColor rgb="FFF3F3F3"/>
        <bgColor rgb="FFF3F3F3"/>
      </patternFill>
    </fill>
    <fill>
      <patternFill patternType="solid">
        <fgColor theme="8"/>
        <bgColor theme="8"/>
      </patternFill>
    </fill>
    <fill>
      <patternFill patternType="solid">
        <fgColor rgb="FFF2F2F2"/>
        <bgColor rgb="FFF2F2F2"/>
      </patternFill>
    </fill>
  </fills>
  <borders count="267">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double">
        <color rgb="FF000000"/>
      </left>
      <right/>
      <top style="double">
        <color rgb="FF000000"/>
      </top>
      <bottom/>
      <diagonal/>
    </border>
    <border>
      <left/>
      <right style="double">
        <color rgb="FF000000"/>
      </right>
      <top style="double">
        <color rgb="FF000000"/>
      </top>
      <bottom/>
      <diagonal/>
    </border>
    <border>
      <left/>
      <right/>
      <top style="double">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C0C0C0"/>
      </right>
      <top/>
      <bottom style="thin">
        <color rgb="FF000000"/>
      </bottom>
      <diagonal/>
    </border>
    <border>
      <left style="medium">
        <color rgb="FFC0C0C0"/>
      </left>
      <right style="medium">
        <color rgb="FF000000"/>
      </right>
      <top/>
      <bottom style="thin">
        <color rgb="FF000000"/>
      </bottom>
      <diagonal/>
    </border>
    <border>
      <left style="double">
        <color rgb="FF000000"/>
      </left>
      <right/>
      <top style="medium">
        <color rgb="FF000000"/>
      </top>
      <bottom/>
      <diagonal/>
    </border>
    <border>
      <left style="medium">
        <color rgb="FF000000"/>
      </left>
      <right style="thin">
        <color rgb="FF000000"/>
      </right>
      <top style="medium">
        <color rgb="FF000000"/>
      </top>
      <bottom style="thin">
        <color rgb="FF000000"/>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right/>
      <top/>
      <bottom/>
      <diagonal/>
    </border>
    <border>
      <left/>
      <right style="double">
        <color rgb="FF000000"/>
      </right>
      <top style="medium">
        <color rgb="FF000000"/>
      </top>
      <bottom/>
      <diagonal/>
    </border>
    <border>
      <left/>
      <right/>
      <top/>
      <bottom/>
      <diagonal/>
    </border>
    <border>
      <left style="medium">
        <color rgb="FF000000"/>
      </left>
      <right/>
      <top style="thin">
        <color rgb="FF000000"/>
      </top>
      <bottom style="thin">
        <color rgb="FFC0C0C0"/>
      </bottom>
      <diagonal/>
    </border>
    <border>
      <left style="thin">
        <color rgb="FF000000"/>
      </left>
      <right/>
      <top style="medium">
        <color rgb="FF000000"/>
      </top>
      <bottom style="thin">
        <color rgb="FF000000"/>
      </bottom>
      <diagonal/>
    </border>
    <border>
      <left style="double">
        <color rgb="FF000000"/>
      </left>
      <right/>
      <top/>
      <bottom/>
      <diagonal/>
    </border>
    <border>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C0C0C0"/>
      </top>
      <bottom style="thin">
        <color rgb="FFC0C0C0"/>
      </bottom>
      <diagonal/>
    </border>
    <border>
      <left/>
      <right style="double">
        <color rgb="FF000000"/>
      </right>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double">
        <color rgb="FF000000"/>
      </left>
      <right/>
      <top/>
      <bottom style="medium">
        <color rgb="FF000000"/>
      </bottom>
      <diagonal/>
    </border>
    <border>
      <left/>
      <right style="double">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thin">
        <color rgb="FFC0C0C0"/>
      </top>
      <bottom style="thin">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diagonal/>
    </border>
    <border>
      <left style="medium">
        <color rgb="FF000000"/>
      </left>
      <right/>
      <top/>
      <bottom style="medium">
        <color rgb="FF000000"/>
      </bottom>
      <diagonal/>
    </border>
    <border>
      <left style="double">
        <color rgb="FF000000"/>
      </left>
      <right style="thin">
        <color rgb="FF000000"/>
      </right>
      <top style="thin">
        <color rgb="FF000000"/>
      </top>
      <bottom style="thin">
        <color rgb="FF000000"/>
      </bottom>
      <diagonal/>
    </border>
    <border>
      <left/>
      <right style="double">
        <color rgb="FF000000"/>
      </right>
      <top style="thin">
        <color rgb="FF000000"/>
      </top>
      <bottom style="thin">
        <color rgb="FF000000"/>
      </bottom>
      <diagonal/>
    </border>
    <border>
      <left style="double">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right style="double">
        <color rgb="FF000000"/>
      </right>
      <top style="thin">
        <color rgb="FF000000"/>
      </top>
      <bottom style="double">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rgb="FF000000"/>
      </right>
      <top style="double">
        <color rgb="FF000000"/>
      </top>
      <bottom/>
      <diagonal/>
    </border>
    <border>
      <left style="double">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double">
        <color rgb="FF000000"/>
      </right>
      <top/>
      <bottom style="thin">
        <color rgb="FF000000"/>
      </bottom>
      <diagonal/>
    </border>
    <border>
      <left style="medium">
        <color rgb="FF000000"/>
      </left>
      <right/>
      <top/>
      <bottom style="thin">
        <color rgb="FF000000"/>
      </bottom>
      <diagonal/>
    </border>
    <border>
      <left style="thin">
        <color rgb="FF000000"/>
      </left>
      <right style="double">
        <color rgb="FF000000"/>
      </right>
      <top style="thin">
        <color rgb="FF000000"/>
      </top>
      <bottom style="thin">
        <color rgb="FF000000"/>
      </bottom>
      <diagonal/>
    </border>
    <border>
      <left/>
      <right style="thin">
        <color rgb="FF000000"/>
      </right>
      <top/>
      <bottom style="double">
        <color rgb="FF000000"/>
      </bottom>
      <diagonal/>
    </border>
    <border>
      <left style="thin">
        <color rgb="FF000000"/>
      </left>
      <right style="double">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double">
        <color rgb="FF000000"/>
      </right>
      <top/>
      <bottom/>
      <diagonal/>
    </border>
    <border>
      <left style="double">
        <color rgb="FF000000"/>
      </left>
      <right/>
      <top/>
      <bottom style="thin">
        <color rgb="FF000000"/>
      </bottom>
      <diagonal/>
    </border>
    <border>
      <left style="thin">
        <color rgb="FF000000"/>
      </left>
      <right style="thin">
        <color rgb="FF000000"/>
      </right>
      <top/>
      <bottom style="medium">
        <color rgb="FF000000"/>
      </bottom>
      <diagonal/>
    </border>
    <border>
      <left style="thin">
        <color rgb="FF000000"/>
      </left>
      <right style="double">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thin">
        <color rgb="FF000000"/>
      </bottom>
      <diagonal/>
    </border>
    <border>
      <left style="medium">
        <color rgb="FF000000"/>
      </left>
      <right style="double">
        <color rgb="FF000000"/>
      </right>
      <top style="medium">
        <color rgb="FF000000"/>
      </top>
      <bottom style="medium">
        <color rgb="FF000000"/>
      </bottom>
      <diagonal/>
    </border>
    <border>
      <left style="medium">
        <color rgb="FF000000"/>
      </left>
      <right/>
      <top/>
      <bottom style="double">
        <color rgb="FF000000"/>
      </bottom>
      <diagonal/>
    </border>
    <border>
      <left/>
      <right style="medium">
        <color rgb="FF000000"/>
      </right>
      <top/>
      <bottom style="double">
        <color rgb="FF000000"/>
      </bottom>
      <diagonal/>
    </border>
    <border>
      <left style="medium">
        <color rgb="FF000000"/>
      </left>
      <right style="medium">
        <color rgb="FF000000"/>
      </right>
      <top style="medium">
        <color rgb="FF000000"/>
      </top>
      <bottom style="double">
        <color rgb="FF000000"/>
      </bottom>
      <diagonal/>
    </border>
    <border>
      <left style="medium">
        <color rgb="FF000000"/>
      </left>
      <right style="double">
        <color rgb="FF000000"/>
      </right>
      <top/>
      <bottom style="double">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double">
        <color rgb="FF000000"/>
      </right>
      <top style="thin">
        <color rgb="FF000000"/>
      </top>
      <bottom style="double">
        <color rgb="FF000000"/>
      </bottom>
      <diagonal/>
    </border>
    <border>
      <left/>
      <right style="double">
        <color rgb="FF000000"/>
      </right>
      <top/>
      <bottom/>
      <diagonal/>
    </border>
    <border>
      <left style="double">
        <color rgb="FF000000"/>
      </left>
      <right style="medium">
        <color rgb="FF000000"/>
      </right>
      <top style="double">
        <color rgb="FF000000"/>
      </top>
      <bottom/>
      <diagonal/>
    </border>
    <border>
      <left style="medium">
        <color rgb="FF000000"/>
      </left>
      <right style="medium">
        <color rgb="FF000000"/>
      </right>
      <top style="double">
        <color rgb="FF000000"/>
      </top>
      <bottom/>
      <diagonal/>
    </border>
    <border>
      <left style="medium">
        <color rgb="FF000000"/>
      </left>
      <right style="double">
        <color rgb="FF000000"/>
      </right>
      <top style="double">
        <color rgb="FF000000"/>
      </top>
      <bottom/>
      <diagonal/>
    </border>
    <border>
      <left style="double">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double">
        <color rgb="FF000000"/>
      </right>
      <top/>
      <bottom style="medium">
        <color rgb="FF000000"/>
      </bottom>
      <diagonal/>
    </border>
    <border>
      <left style="double">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double">
        <color rgb="FF000000"/>
      </left>
      <right style="double">
        <color rgb="FF000000"/>
      </right>
      <top style="thin">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top/>
      <bottom style="thin">
        <color rgb="FF000000"/>
      </bottom>
      <diagonal/>
    </border>
    <border>
      <left/>
      <right style="double">
        <color rgb="FF000000"/>
      </right>
      <top/>
      <bottom style="thin">
        <color rgb="FF000000"/>
      </bottom>
      <diagonal/>
    </border>
    <border>
      <left style="double">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double">
        <color rgb="FF000000"/>
      </right>
      <top style="medium">
        <color rgb="FF000000"/>
      </top>
      <bottom/>
      <diagonal/>
    </border>
    <border>
      <left style="double">
        <color rgb="FF000000"/>
      </left>
      <right style="thin">
        <color rgb="FF000000"/>
      </right>
      <top/>
      <bottom style="medium">
        <color rgb="FF000000"/>
      </bottom>
      <diagonal/>
    </border>
    <border>
      <left style="thin">
        <color rgb="FF000000"/>
      </left>
      <right style="double">
        <color rgb="FF000000"/>
      </right>
      <top style="medium">
        <color rgb="FF000000"/>
      </top>
      <bottom style="thin">
        <color rgb="FF000000"/>
      </bottom>
      <diagonal/>
    </border>
    <border>
      <left/>
      <right style="medium">
        <color rgb="FF000000"/>
      </right>
      <top style="double">
        <color rgb="FF000000"/>
      </top>
      <bottom/>
      <diagonal/>
    </border>
    <border>
      <left style="double">
        <color rgb="FF000000"/>
      </left>
      <right style="medium">
        <color rgb="FF000000"/>
      </right>
      <top/>
      <bottom/>
      <diagonal/>
    </border>
    <border>
      <left style="medium">
        <color rgb="FF000000"/>
      </left>
      <right style="medium">
        <color rgb="FF000000"/>
      </right>
      <top/>
      <bottom/>
      <diagonal/>
    </border>
    <border>
      <left style="medium">
        <color rgb="FF000000"/>
      </left>
      <right style="double">
        <color rgb="FF000000"/>
      </right>
      <top/>
      <bottom/>
      <diagonal/>
    </border>
    <border>
      <left style="double">
        <color rgb="FF000000"/>
      </left>
      <right style="medium">
        <color rgb="FF000000"/>
      </right>
      <top/>
      <bottom style="thin">
        <color rgb="FF000000"/>
      </bottom>
      <diagonal/>
    </border>
    <border>
      <left style="thin">
        <color rgb="FF000000"/>
      </left>
      <right style="double">
        <color rgb="FF000000"/>
      </right>
      <top style="thin">
        <color rgb="FF000000"/>
      </top>
      <bottom style="medium">
        <color rgb="FF000000"/>
      </bottom>
      <diagonal/>
    </border>
    <border>
      <left style="double">
        <color rgb="FF000000"/>
      </left>
      <right/>
      <top style="medium">
        <color rgb="FF000000"/>
      </top>
      <bottom style="medium">
        <color rgb="FF000000"/>
      </bottom>
      <diagonal/>
    </border>
    <border>
      <left/>
      <right/>
      <top style="medium">
        <color rgb="FF000000"/>
      </top>
      <bottom style="medium">
        <color rgb="FF000000"/>
      </bottom>
      <diagonal/>
    </border>
    <border>
      <left style="double">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double">
        <color rgb="FF000000"/>
      </bottom>
      <diagonal/>
    </border>
    <border>
      <left style="double">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double">
        <color rgb="FF000000"/>
      </right>
      <top style="medium">
        <color rgb="FF000000"/>
      </top>
      <bottom/>
      <diagonal/>
    </border>
    <border>
      <left style="double">
        <color rgb="FF000000"/>
      </left>
      <right style="thin">
        <color rgb="FF000000"/>
      </right>
      <top/>
      <bottom/>
      <diagonal/>
    </border>
    <border>
      <left style="medium">
        <color rgb="FF000000"/>
      </left>
      <right style="double">
        <color rgb="FF000000"/>
      </right>
      <top style="medium">
        <color rgb="FF000000"/>
      </top>
      <bottom style="double">
        <color rgb="FF000000"/>
      </bottom>
      <diagonal/>
    </border>
    <border>
      <left style="double">
        <color rgb="FF000000"/>
      </left>
      <right/>
      <top style="double">
        <color rgb="FF000000"/>
      </top>
      <bottom style="thin">
        <color rgb="FF000000"/>
      </bottom>
      <diagonal/>
    </border>
    <border>
      <left/>
      <right/>
      <top style="double">
        <color rgb="FF000000"/>
      </top>
      <bottom style="thin">
        <color rgb="FF000000"/>
      </bottom>
      <diagonal/>
    </border>
    <border>
      <left style="double">
        <color rgb="FF000000"/>
      </left>
      <right/>
      <top style="thin">
        <color rgb="FF000000"/>
      </top>
      <bottom style="thin">
        <color rgb="FF000000"/>
      </bottom>
      <diagonal/>
    </border>
    <border>
      <left/>
      <right style="double">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double">
        <color rgb="FF000000"/>
      </left>
      <right/>
      <top/>
      <bottom/>
      <diagonal/>
    </border>
    <border>
      <left style="thin">
        <color rgb="FF000000"/>
      </left>
      <right style="double">
        <color rgb="FF000000"/>
      </right>
      <top style="medium">
        <color rgb="FF000000"/>
      </top>
      <bottom style="medium">
        <color rgb="FF000000"/>
      </bottom>
      <diagonal/>
    </border>
    <border>
      <left style="thin">
        <color rgb="FF000000"/>
      </left>
      <right style="thin">
        <color rgb="FF000000"/>
      </right>
      <top/>
      <bottom style="double">
        <color rgb="FF000000"/>
      </bottom>
      <diagonal/>
    </border>
    <border>
      <left style="thin">
        <color rgb="FF000000"/>
      </left>
      <right style="double">
        <color rgb="FF000000"/>
      </right>
      <top/>
      <bottom style="double">
        <color rgb="FF000000"/>
      </bottom>
      <diagonal/>
    </border>
    <border>
      <left style="medium">
        <color rgb="FF000000"/>
      </left>
      <right style="medium">
        <color rgb="FF000000"/>
      </right>
      <top/>
      <bottom style="thin">
        <color rgb="FF000000"/>
      </bottom>
      <diagonal/>
    </border>
    <border>
      <left style="double">
        <color rgb="FF000000"/>
      </left>
      <right/>
      <top/>
      <bottom/>
      <diagonal/>
    </border>
    <border>
      <left style="medium">
        <color rgb="FF000000"/>
      </left>
      <right style="double">
        <color rgb="FF000000"/>
      </right>
      <top/>
      <bottom style="thin">
        <color rgb="FF000000"/>
      </bottom>
      <diagonal/>
    </border>
    <border>
      <left style="double">
        <color rgb="FF000000"/>
      </left>
      <right/>
      <top style="medium">
        <color rgb="FF000000"/>
      </top>
      <bottom style="thin">
        <color rgb="FF000000"/>
      </bottom>
      <diagonal/>
    </border>
    <border>
      <left style="thin">
        <color rgb="FF000000"/>
      </left>
      <right style="thin">
        <color rgb="FF000000"/>
      </right>
      <top/>
      <bottom style="thin">
        <color rgb="FF000000"/>
      </bottom>
      <diagonal/>
    </border>
    <border>
      <left/>
      <right style="double">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thin">
        <color rgb="FF000000"/>
      </top>
      <bottom/>
      <diagonal/>
    </border>
    <border>
      <left style="double">
        <color rgb="FF000000"/>
      </left>
      <right/>
      <top style="double">
        <color rgb="FF000000"/>
      </top>
      <bottom style="medium">
        <color rgb="FF000000"/>
      </bottom>
      <diagonal/>
    </border>
    <border>
      <left/>
      <right style="double">
        <color rgb="FF000000"/>
      </right>
      <top style="double">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style="thick">
        <color rgb="FFFF0000"/>
      </right>
      <top/>
      <bottom/>
      <diagonal/>
    </border>
    <border>
      <left/>
      <right style="thick">
        <color rgb="FFFF0000"/>
      </right>
      <top/>
      <bottom style="medium">
        <color rgb="FF000000"/>
      </bottom>
      <diagonal/>
    </border>
    <border>
      <left style="thick">
        <color rgb="FFFF0000"/>
      </left>
      <right style="thick">
        <color rgb="FFFF0000"/>
      </right>
      <top/>
      <bottom style="medium">
        <color rgb="FF000000"/>
      </bottom>
      <diagonal/>
    </border>
    <border>
      <left style="thick">
        <color rgb="FFFF0000"/>
      </left>
      <right style="thin">
        <color rgb="FF000000"/>
      </right>
      <top style="thin">
        <color rgb="FF000000"/>
      </top>
      <bottom style="thin">
        <color rgb="FF000000"/>
      </bottom>
      <diagonal/>
    </border>
    <border>
      <left style="thin">
        <color rgb="FF000000"/>
      </left>
      <right style="thick">
        <color rgb="FFFF0000"/>
      </right>
      <top style="thin">
        <color rgb="FF000000"/>
      </top>
      <bottom style="thin">
        <color rgb="FF000000"/>
      </bottom>
      <diagonal/>
    </border>
    <border>
      <left style="thick">
        <color rgb="FFFF0000"/>
      </left>
      <right style="thin">
        <color rgb="FF000000"/>
      </right>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FF0000"/>
      </left>
      <right style="thick">
        <color rgb="FFFF0000"/>
      </right>
      <top/>
      <bottom style="thick">
        <color rgb="FFFF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double">
        <color rgb="FF000000"/>
      </top>
      <bottom/>
      <diagonal/>
    </border>
    <border>
      <left/>
      <right style="double">
        <color rgb="FF000000"/>
      </right>
      <top/>
      <bottom style="double">
        <color rgb="FF000000"/>
      </bottom>
      <diagonal/>
    </border>
    <border>
      <left style="thin">
        <color rgb="FF000000"/>
      </left>
      <right style="thick">
        <color rgb="FF000000"/>
      </right>
      <top style="thick">
        <color rgb="FF000000"/>
      </top>
      <bottom style="thin">
        <color rgb="FF000000"/>
      </bottom>
      <diagonal/>
    </border>
    <border>
      <left style="thin">
        <color rgb="FF000000"/>
      </left>
      <right style="thin">
        <color rgb="FF000000"/>
      </right>
      <top style="thin">
        <color rgb="FF000000"/>
      </top>
      <bottom/>
      <diagonal/>
    </border>
    <border>
      <left style="double">
        <color rgb="FF000000"/>
      </left>
      <right/>
      <top style="medium">
        <color rgb="FF000000"/>
      </top>
      <bottom/>
      <diagonal/>
    </border>
    <border>
      <left/>
      <right/>
      <top style="medium">
        <color rgb="FF000000"/>
      </top>
      <bottom/>
      <diagonal/>
    </border>
    <border>
      <left style="thin">
        <color rgb="FF000000"/>
      </left>
      <right/>
      <top/>
      <bottom/>
      <diagonal/>
    </border>
    <border>
      <left style="thin">
        <color rgb="FFCCCCCC"/>
      </left>
      <right style="thin">
        <color rgb="FFCCCCCC"/>
      </right>
      <top style="thin">
        <color rgb="FFCCCCCC"/>
      </top>
      <bottom style="thin">
        <color rgb="FFCCCCCC"/>
      </bottom>
      <diagonal/>
    </border>
    <border>
      <left style="thin">
        <color rgb="FF000000"/>
      </left>
      <right style="medium">
        <color rgb="FF000000"/>
      </right>
      <top/>
      <bottom style="medium">
        <color rgb="FF000000"/>
      </bottom>
      <diagonal/>
    </border>
    <border>
      <left style="thin">
        <color rgb="FF000000"/>
      </left>
      <right style="thin">
        <color rgb="FF000000"/>
      </right>
      <top/>
      <bottom/>
      <diagonal/>
    </border>
    <border>
      <left/>
      <right/>
      <top style="thin">
        <color rgb="FF000000"/>
      </top>
      <bottom/>
      <diagonal/>
    </border>
    <border>
      <left/>
      <right/>
      <top/>
      <bottom style="thin">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style="thin">
        <color rgb="FF000000"/>
      </right>
      <top/>
      <bottom style="thin">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thin">
        <color rgb="FF000000"/>
      </left>
      <right/>
      <top style="thick">
        <color rgb="FF000000"/>
      </top>
      <bottom style="thin">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C0C0C0"/>
      </bottom>
      <diagonal/>
    </border>
    <border>
      <left style="thick">
        <color rgb="FF000000"/>
      </left>
      <right/>
      <top style="thin">
        <color rgb="FF000000"/>
      </top>
      <bottom style="thin">
        <color rgb="FF000000"/>
      </bottom>
      <diagonal/>
    </border>
    <border>
      <left style="thin">
        <color rgb="FF000000"/>
      </left>
      <right style="thin">
        <color rgb="FF000000"/>
      </right>
      <top style="thin">
        <color rgb="FFC0C0C0"/>
      </top>
      <bottom style="thin">
        <color rgb="FFC0C0C0"/>
      </bottom>
      <diagonal/>
    </border>
    <border>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right/>
      <top/>
      <bottom style="thin">
        <color rgb="FF000000"/>
      </bottom>
      <diagonal/>
    </border>
    <border>
      <left style="thin">
        <color rgb="FF000000"/>
      </left>
      <right style="thin">
        <color rgb="FF000000"/>
      </right>
      <top style="thin">
        <color rgb="FFC0C0C0"/>
      </top>
      <bottom/>
      <diagonal/>
    </border>
    <border>
      <left/>
      <right style="thin">
        <color rgb="FF000000"/>
      </right>
      <top/>
      <bottom style="medium">
        <color rgb="FF000000"/>
      </bottom>
      <diagonal/>
    </border>
    <border>
      <left/>
      <right/>
      <top/>
      <bottom style="double">
        <color rgb="FF000000"/>
      </bottom>
      <diagonal/>
    </border>
    <border>
      <left/>
      <right/>
      <top/>
      <bottom style="double">
        <color rgb="FF000000"/>
      </bottom>
      <diagonal/>
    </border>
    <border>
      <left/>
      <right style="double">
        <color rgb="FF000000"/>
      </right>
      <top style="double">
        <color rgb="FF000000"/>
      </top>
      <bottom style="thin">
        <color rgb="FF000000"/>
      </bottom>
      <diagonal/>
    </border>
    <border>
      <left/>
      <right style="medium">
        <color rgb="FF000000"/>
      </right>
      <top/>
      <bottom style="thin">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thin">
        <color rgb="FFC0C0C0"/>
      </right>
      <top style="thick">
        <color rgb="FF000000"/>
      </top>
      <bottom style="medium">
        <color rgb="FF000000"/>
      </bottom>
      <diagonal/>
    </border>
    <border>
      <left style="thin">
        <color rgb="FFC0C0C0"/>
      </left>
      <right style="medium">
        <color rgb="FF000000"/>
      </right>
      <top style="thick">
        <color rgb="FF000000"/>
      </top>
      <bottom style="medium">
        <color rgb="FF000000"/>
      </bottom>
      <diagonal/>
    </border>
    <border>
      <left style="thick">
        <color rgb="FF000000"/>
      </left>
      <right/>
      <top/>
      <bottom/>
      <diagonal/>
    </border>
    <border>
      <left/>
      <right style="thin">
        <color rgb="FFC0C0C0"/>
      </right>
      <top/>
      <bottom/>
      <diagonal/>
    </border>
    <border>
      <left style="thin">
        <color rgb="FFC0C0C0"/>
      </left>
      <right style="medium">
        <color rgb="FF000000"/>
      </right>
      <top/>
      <bottom/>
      <diagonal/>
    </border>
    <border>
      <left style="thick">
        <color rgb="FF000000"/>
      </left>
      <right/>
      <top/>
      <bottom style="medium">
        <color rgb="FF000000"/>
      </bottom>
      <diagonal/>
    </border>
    <border>
      <left/>
      <right style="thin">
        <color rgb="FFC0C0C0"/>
      </right>
      <top/>
      <bottom style="medium">
        <color rgb="FF000000"/>
      </bottom>
      <diagonal/>
    </border>
    <border>
      <left style="thin">
        <color rgb="FFC0C0C0"/>
      </left>
      <right style="medium">
        <color rgb="FF000000"/>
      </right>
      <top/>
      <bottom style="medium">
        <color rgb="FF000000"/>
      </bottom>
      <diagonal/>
    </border>
    <border>
      <left style="thick">
        <color rgb="FF000000"/>
      </left>
      <right/>
      <top/>
      <bottom style="medium">
        <color rgb="FF000000"/>
      </bottom>
      <diagonal/>
    </border>
    <border>
      <left/>
      <right style="thin">
        <color rgb="FFC0C0C0"/>
      </right>
      <top/>
      <bottom style="medium">
        <color rgb="FF000000"/>
      </bottom>
      <diagonal/>
    </border>
    <border>
      <left style="thick">
        <color rgb="FF000000"/>
      </left>
      <right/>
      <top style="medium">
        <color rgb="FF000000"/>
      </top>
      <bottom style="medium">
        <color rgb="FF000000"/>
      </bottom>
      <diagonal/>
    </border>
    <border>
      <left/>
      <right style="thin">
        <color rgb="FFC0C0C0"/>
      </right>
      <top style="medium">
        <color rgb="FF000000"/>
      </top>
      <bottom/>
      <diagonal/>
    </border>
    <border>
      <left/>
      <right style="thin">
        <color rgb="FFC0C0C0"/>
      </right>
      <top style="medium">
        <color rgb="FF000000"/>
      </top>
      <bottom style="medium">
        <color rgb="FF000000"/>
      </bottom>
      <diagonal/>
    </border>
    <border>
      <left style="thin">
        <color rgb="FFC0C0C0"/>
      </left>
      <right style="medium">
        <color rgb="FF000000"/>
      </right>
      <top style="medium">
        <color rgb="FF000000"/>
      </top>
      <bottom style="medium">
        <color rgb="FF000000"/>
      </bottom>
      <diagonal/>
    </border>
    <border>
      <left style="thin">
        <color rgb="FFC0C0C0"/>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indexed="64"/>
      </bottom>
      <diagonal/>
    </border>
    <border>
      <left style="double">
        <color rgb="FF000000"/>
      </left>
      <right/>
      <top style="double">
        <color rgb="FF000000"/>
      </top>
      <bottom style="thin">
        <color rgb="FFFFFFFF"/>
      </bottom>
      <diagonal/>
    </border>
    <border>
      <left style="thin">
        <color rgb="FF000000"/>
      </left>
      <right style="thin">
        <color rgb="FF000000"/>
      </right>
      <top style="double">
        <color rgb="FF000000"/>
      </top>
      <bottom style="thin">
        <color rgb="FFFFFFFF"/>
      </bottom>
      <diagonal/>
    </border>
    <border>
      <left style="thin">
        <color rgb="FF000000"/>
      </left>
      <right style="double">
        <color rgb="FF000000"/>
      </right>
      <top style="double">
        <color rgb="FF000000"/>
      </top>
      <bottom style="thin">
        <color rgb="FFFFFFFF"/>
      </bottom>
      <diagonal/>
    </border>
    <border>
      <left style="double">
        <color rgb="FF000000"/>
      </left>
      <right style="thin">
        <color rgb="FF000000"/>
      </right>
      <top style="thin">
        <color rgb="FFFFFFFF"/>
      </top>
      <bottom style="medium">
        <color rgb="FF000000"/>
      </bottom>
      <diagonal/>
    </border>
    <border>
      <left style="thin">
        <color rgb="FF000000"/>
      </left>
      <right style="thin">
        <color rgb="FF000000"/>
      </right>
      <top style="thin">
        <color rgb="FFFFFFFF"/>
      </top>
      <bottom style="medium">
        <color rgb="FF000000"/>
      </bottom>
      <diagonal/>
    </border>
    <border>
      <left style="thin">
        <color rgb="FF000000"/>
      </left>
      <right style="double">
        <color rgb="FF000000"/>
      </right>
      <top style="thin">
        <color rgb="FFFFFFFF"/>
      </top>
      <bottom style="medium">
        <color rgb="FF000000"/>
      </bottom>
      <diagonal/>
    </border>
    <border>
      <left style="double">
        <color rgb="FF000000"/>
      </left>
      <right style="thin">
        <color rgb="FF000000"/>
      </right>
      <top style="thin">
        <color rgb="FF000000"/>
      </top>
      <bottom style="medium">
        <color rgb="FF000000"/>
      </bottom>
      <diagonal/>
    </border>
    <border>
      <left style="double">
        <color rgb="FF000000"/>
      </left>
      <right style="double">
        <color rgb="FF000000"/>
      </right>
      <top/>
      <bottom style="double">
        <color rgb="FF000000"/>
      </bottom>
      <diagonal/>
    </border>
    <border>
      <left style="thin">
        <color rgb="FF000000"/>
      </left>
      <right/>
      <top style="double">
        <color rgb="FF000000"/>
      </top>
      <bottom style="thin">
        <color rgb="FFFFFFFF"/>
      </bottom>
      <diagonal/>
    </border>
    <border>
      <left style="double">
        <color rgb="FF000000"/>
      </left>
      <right style="double">
        <color rgb="FF000000"/>
      </right>
      <top style="double">
        <color rgb="FF000000"/>
      </top>
      <bottom style="thin">
        <color rgb="FFFFFFFF"/>
      </bottom>
      <diagonal/>
    </border>
    <border>
      <left style="thin">
        <color rgb="FF000000"/>
      </left>
      <right/>
      <top style="thin">
        <color rgb="FFFFFFFF"/>
      </top>
      <bottom style="medium">
        <color rgb="FF000000"/>
      </bottom>
      <diagonal/>
    </border>
    <border>
      <left style="double">
        <color rgb="FF000000"/>
      </left>
      <right style="double">
        <color rgb="FF000000"/>
      </right>
      <top style="thin">
        <color rgb="FFFFFFFF"/>
      </top>
      <bottom style="medium">
        <color rgb="FF000000"/>
      </bottom>
      <diagonal/>
    </border>
    <border>
      <left style="double">
        <color rgb="FF000000"/>
      </left>
      <right style="double">
        <color rgb="FF000000"/>
      </right>
      <top/>
      <bottom style="thin">
        <color rgb="FF000000"/>
      </bottom>
      <diagonal/>
    </border>
    <border>
      <left style="double">
        <color rgb="FF000000"/>
      </left>
      <right style="double">
        <color rgb="FF000000"/>
      </right>
      <top style="thin">
        <color rgb="FF000000"/>
      </top>
      <bottom style="medium">
        <color rgb="FF000000"/>
      </bottom>
      <diagonal/>
    </border>
    <border>
      <left style="thin">
        <color rgb="FF000000"/>
      </left>
      <right/>
      <top/>
      <bottom style="medium">
        <color rgb="FF000000"/>
      </bottom>
      <diagonal/>
    </border>
    <border>
      <left style="double">
        <color rgb="FF000000"/>
      </left>
      <right style="double">
        <color rgb="FF000000"/>
      </right>
      <top/>
      <bottom style="medium">
        <color rgb="FF000000"/>
      </bottom>
      <diagonal/>
    </border>
  </borders>
  <cellStyleXfs count="2">
    <xf numFmtId="0" fontId="0" fillId="0" borderId="0"/>
    <xf numFmtId="0" fontId="170" fillId="0" borderId="60"/>
  </cellStyleXfs>
  <cellXfs count="1938">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horizontal="center"/>
    </xf>
    <xf numFmtId="0" fontId="7" fillId="0" borderId="0" xfId="0" applyFont="1" applyAlignment="1">
      <alignment horizontal="left"/>
    </xf>
    <xf numFmtId="3" fontId="5" fillId="0" borderId="4" xfId="0" applyNumberFormat="1" applyFont="1" applyBorder="1" applyAlignment="1">
      <alignment horizontal="center"/>
    </xf>
    <xf numFmtId="0" fontId="5" fillId="0" borderId="4" xfId="0" applyFont="1" applyBorder="1" applyAlignment="1">
      <alignment horizontal="center"/>
    </xf>
    <xf numFmtId="0" fontId="5" fillId="0" borderId="0" xfId="0" applyFont="1" applyAlignment="1">
      <alignment horizontal="right"/>
    </xf>
    <xf numFmtId="164" fontId="5" fillId="0" borderId="4" xfId="0" applyNumberFormat="1" applyFont="1" applyBorder="1" applyAlignment="1">
      <alignment horizontal="center"/>
    </xf>
    <xf numFmtId="0" fontId="7" fillId="0" borderId="0" xfId="0" applyFont="1" applyAlignment="1">
      <alignment horizontal="right"/>
    </xf>
    <xf numFmtId="0" fontId="8" fillId="0" borderId="0" xfId="0" applyFont="1"/>
    <xf numFmtId="3" fontId="5" fillId="0" borderId="5" xfId="0" applyNumberFormat="1" applyFont="1" applyBorder="1" applyAlignment="1">
      <alignment horizontal="center"/>
    </xf>
    <xf numFmtId="0" fontId="8" fillId="0" borderId="0" xfId="0" applyFont="1" applyAlignment="1">
      <alignment vertical="top"/>
    </xf>
    <xf numFmtId="165" fontId="9" fillId="0" borderId="0" xfId="0" applyNumberFormat="1" applyFont="1"/>
    <xf numFmtId="0" fontId="5" fillId="0" borderId="6" xfId="0" applyFont="1" applyBorder="1" applyAlignment="1">
      <alignment horizontal="right"/>
    </xf>
    <xf numFmtId="0" fontId="10" fillId="0" borderId="0" xfId="0" applyFont="1"/>
    <xf numFmtId="1" fontId="12" fillId="4" borderId="9" xfId="0" applyNumberFormat="1" applyFont="1" applyFill="1" applyBorder="1" applyAlignment="1">
      <alignment horizontal="center"/>
    </xf>
    <xf numFmtId="0" fontId="13" fillId="0" borderId="0" xfId="0" applyFont="1"/>
    <xf numFmtId="0" fontId="14" fillId="0" borderId="0" xfId="0" applyFont="1"/>
    <xf numFmtId="0" fontId="15" fillId="0" borderId="0" xfId="0" applyFont="1" applyAlignment="1">
      <alignment horizontal="left" vertical="top" wrapText="1"/>
    </xf>
    <xf numFmtId="0" fontId="16" fillId="0" borderId="0" xfId="0" applyFont="1"/>
    <xf numFmtId="0" fontId="17" fillId="0" borderId="0" xfId="0" applyFont="1" applyAlignment="1">
      <alignment wrapText="1"/>
    </xf>
    <xf numFmtId="0" fontId="18" fillId="0" borderId="0" xfId="0" applyFont="1"/>
    <xf numFmtId="0" fontId="19" fillId="0" borderId="0" xfId="0" applyFont="1"/>
    <xf numFmtId="0" fontId="17" fillId="0" borderId="0" xfId="0" applyFont="1"/>
    <xf numFmtId="0" fontId="19" fillId="0" borderId="12" xfId="0" applyFont="1" applyBorder="1"/>
    <xf numFmtId="166" fontId="18" fillId="0" borderId="0" xfId="0" applyNumberFormat="1" applyFont="1" applyAlignment="1">
      <alignment wrapText="1"/>
    </xf>
    <xf numFmtId="0" fontId="19" fillId="0" borderId="13" xfId="0" applyFont="1" applyBorder="1"/>
    <xf numFmtId="166" fontId="20" fillId="0" borderId="0" xfId="0" applyNumberFormat="1" applyFont="1"/>
    <xf numFmtId="0" fontId="21" fillId="5" borderId="1" xfId="0" applyFont="1" applyFill="1" applyBorder="1"/>
    <xf numFmtId="0" fontId="19" fillId="0" borderId="14" xfId="0" applyFont="1" applyBorder="1"/>
    <xf numFmtId="167" fontId="3" fillId="4" borderId="15" xfId="0" applyNumberFormat="1" applyFont="1" applyFill="1" applyBorder="1" applyAlignment="1">
      <alignment horizontal="center"/>
    </xf>
    <xf numFmtId="0" fontId="19" fillId="5" borderId="1" xfId="0" applyFont="1" applyFill="1" applyBorder="1"/>
    <xf numFmtId="0" fontId="22" fillId="0" borderId="14" xfId="0" applyFont="1" applyBorder="1"/>
    <xf numFmtId="0" fontId="21" fillId="0" borderId="0" xfId="0" applyFont="1"/>
    <xf numFmtId="0" fontId="14" fillId="0" borderId="0" xfId="0" applyFont="1" applyAlignment="1">
      <alignment horizontal="center"/>
    </xf>
    <xf numFmtId="0" fontId="12" fillId="0" borderId="16" xfId="0" applyFont="1" applyBorder="1"/>
    <xf numFmtId="168" fontId="14" fillId="0" borderId="0" xfId="0" applyNumberFormat="1" applyFont="1"/>
    <xf numFmtId="0" fontId="3" fillId="0" borderId="17" xfId="0" applyFont="1" applyBorder="1"/>
    <xf numFmtId="0" fontId="19" fillId="0" borderId="18" xfId="0" applyFont="1" applyBorder="1"/>
    <xf numFmtId="0" fontId="19" fillId="0" borderId="19" xfId="0" applyFont="1" applyBorder="1"/>
    <xf numFmtId="0" fontId="19" fillId="0" borderId="20" xfId="0" applyFont="1" applyBorder="1"/>
    <xf numFmtId="0" fontId="21" fillId="0" borderId="21" xfId="0" applyFont="1" applyBorder="1"/>
    <xf numFmtId="167" fontId="12" fillId="4" borderId="15" xfId="0" applyNumberFormat="1" applyFont="1" applyFill="1" applyBorder="1" applyAlignment="1">
      <alignment horizontal="center"/>
    </xf>
    <xf numFmtId="0" fontId="22" fillId="0" borderId="20" xfId="0" applyFont="1" applyBorder="1"/>
    <xf numFmtId="0" fontId="19" fillId="0" borderId="23" xfId="0" applyFont="1" applyBorder="1"/>
    <xf numFmtId="0" fontId="3" fillId="0" borderId="25" xfId="0" applyFont="1" applyBorder="1"/>
    <xf numFmtId="0" fontId="21" fillId="0" borderId="26" xfId="0" applyFont="1" applyBorder="1"/>
    <xf numFmtId="0" fontId="19" fillId="0" borderId="27" xfId="0" applyFont="1" applyBorder="1"/>
    <xf numFmtId="0" fontId="3" fillId="0" borderId="2" xfId="0" applyFont="1" applyBorder="1"/>
    <xf numFmtId="0" fontId="21" fillId="0" borderId="28" xfId="0" applyFont="1" applyBorder="1"/>
    <xf numFmtId="0" fontId="14" fillId="0" borderId="0" xfId="0" applyFont="1" applyAlignment="1">
      <alignment horizontal="left"/>
    </xf>
    <xf numFmtId="0" fontId="19" fillId="0" borderId="0" xfId="0" applyFont="1" applyAlignment="1">
      <alignment horizontal="center"/>
    </xf>
    <xf numFmtId="0" fontId="21" fillId="0" borderId="11" xfId="0" applyFont="1" applyBorder="1"/>
    <xf numFmtId="166" fontId="19" fillId="0" borderId="0" xfId="0" applyNumberFormat="1" applyFont="1"/>
    <xf numFmtId="0" fontId="19" fillId="0" borderId="29" xfId="0" applyFont="1" applyBorder="1"/>
    <xf numFmtId="166" fontId="16" fillId="0" borderId="0" xfId="0" applyNumberFormat="1" applyFont="1"/>
    <xf numFmtId="0" fontId="19" fillId="0" borderId="4" xfId="0" applyFont="1" applyBorder="1"/>
    <xf numFmtId="0" fontId="3" fillId="0" borderId="30" xfId="0" applyFont="1" applyBorder="1"/>
    <xf numFmtId="0" fontId="23" fillId="0" borderId="31" xfId="0" applyFont="1" applyBorder="1"/>
    <xf numFmtId="0" fontId="24" fillId="0" borderId="2" xfId="0" applyFont="1" applyBorder="1"/>
    <xf numFmtId="0" fontId="23" fillId="0" borderId="0" xfId="0" applyFont="1"/>
    <xf numFmtId="0" fontId="19" fillId="0" borderId="2" xfId="0" applyFont="1" applyBorder="1"/>
    <xf numFmtId="0" fontId="19" fillId="0" borderId="32" xfId="0" applyFont="1" applyBorder="1"/>
    <xf numFmtId="0" fontId="16" fillId="0" borderId="0" xfId="0" applyFont="1" applyAlignment="1">
      <alignment horizontal="center"/>
    </xf>
    <xf numFmtId="0" fontId="19" fillId="0" borderId="33" xfId="0" applyFont="1" applyBorder="1"/>
    <xf numFmtId="0" fontId="19" fillId="0" borderId="31" xfId="0" applyFont="1" applyBorder="1" applyAlignment="1">
      <alignment horizontal="center"/>
    </xf>
    <xf numFmtId="0" fontId="23" fillId="0" borderId="0" xfId="0" applyFont="1" applyAlignment="1">
      <alignment horizontal="center"/>
    </xf>
    <xf numFmtId="0" fontId="17" fillId="0" borderId="29" xfId="0" applyFont="1" applyBorder="1" applyAlignment="1">
      <alignment horizontal="right"/>
    </xf>
    <xf numFmtId="3" fontId="17" fillId="0" borderId="4" xfId="0" applyNumberFormat="1" applyFont="1" applyBorder="1" applyAlignment="1">
      <alignment horizontal="right"/>
    </xf>
    <xf numFmtId="0" fontId="3" fillId="0" borderId="2" xfId="0" applyFont="1" applyBorder="1" applyAlignment="1">
      <alignment horizontal="left"/>
    </xf>
    <xf numFmtId="0" fontId="19" fillId="0" borderId="34" xfId="0" applyFont="1" applyBorder="1"/>
    <xf numFmtId="3" fontId="19" fillId="0" borderId="4" xfId="0" applyNumberFormat="1" applyFont="1" applyBorder="1"/>
    <xf numFmtId="0" fontId="19" fillId="0" borderId="6" xfId="0" applyFont="1" applyBorder="1"/>
    <xf numFmtId="3" fontId="19" fillId="0" borderId="2" xfId="0" applyNumberFormat="1" applyFont="1" applyBorder="1"/>
    <xf numFmtId="3" fontId="17" fillId="0" borderId="32" xfId="0" applyNumberFormat="1" applyFont="1" applyBorder="1" applyAlignment="1">
      <alignment horizontal="right"/>
    </xf>
    <xf numFmtId="0" fontId="19" fillId="0" borderId="6" xfId="0" applyFont="1" applyBorder="1" applyAlignment="1">
      <alignment horizontal="center"/>
    </xf>
    <xf numFmtId="3" fontId="19" fillId="0" borderId="32" xfId="0" applyNumberFormat="1" applyFont="1" applyBorder="1"/>
    <xf numFmtId="0" fontId="16" fillId="0" borderId="6" xfId="0" applyFont="1" applyBorder="1" applyAlignment="1">
      <alignment horizontal="center"/>
    </xf>
    <xf numFmtId="3" fontId="19" fillId="0" borderId="33" xfId="0" applyNumberFormat="1" applyFont="1" applyBorder="1"/>
    <xf numFmtId="0" fontId="16" fillId="0" borderId="35" xfId="0" applyFont="1" applyBorder="1"/>
    <xf numFmtId="167" fontId="3" fillId="0" borderId="15" xfId="0" applyNumberFormat="1" applyFont="1" applyBorder="1" applyAlignment="1">
      <alignment horizontal="center"/>
    </xf>
    <xf numFmtId="0" fontId="16" fillId="0" borderId="31" xfId="0" applyFont="1" applyBorder="1"/>
    <xf numFmtId="168" fontId="19" fillId="0" borderId="0" xfId="0" applyNumberFormat="1" applyFont="1"/>
    <xf numFmtId="0" fontId="17" fillId="0" borderId="36" xfId="0" applyFont="1" applyBorder="1" applyAlignment="1">
      <alignment horizontal="right"/>
    </xf>
    <xf numFmtId="0" fontId="19" fillId="0" borderId="31" xfId="0" applyFont="1" applyBorder="1"/>
    <xf numFmtId="3" fontId="17" fillId="0" borderId="37" xfId="0" applyNumberFormat="1" applyFont="1" applyBorder="1" applyAlignment="1">
      <alignment horizontal="right"/>
    </xf>
    <xf numFmtId="168" fontId="18" fillId="0" borderId="0" xfId="0" applyNumberFormat="1" applyFont="1"/>
    <xf numFmtId="3" fontId="19" fillId="0" borderId="37" xfId="0" applyNumberFormat="1" applyFont="1" applyBorder="1"/>
    <xf numFmtId="0" fontId="19" fillId="7" borderId="1" xfId="0" applyFont="1" applyFill="1" applyBorder="1"/>
    <xf numFmtId="3" fontId="19" fillId="0" borderId="38" xfId="0" applyNumberFormat="1" applyFont="1" applyBorder="1"/>
    <xf numFmtId="3" fontId="17" fillId="0" borderId="39" xfId="0" applyNumberFormat="1" applyFont="1" applyBorder="1" applyAlignment="1">
      <alignment horizontal="right"/>
    </xf>
    <xf numFmtId="3" fontId="19" fillId="0" borderId="39" xfId="0" applyNumberFormat="1" applyFont="1" applyBorder="1"/>
    <xf numFmtId="3" fontId="19" fillId="0" borderId="40" xfId="0" applyNumberFormat="1" applyFont="1" applyBorder="1"/>
    <xf numFmtId="0" fontId="25" fillId="0" borderId="0" xfId="0" applyFont="1"/>
    <xf numFmtId="0" fontId="26" fillId="0" borderId="0" xfId="0" applyFont="1"/>
    <xf numFmtId="168" fontId="27" fillId="0" borderId="0" xfId="0" applyNumberFormat="1" applyFont="1"/>
    <xf numFmtId="168" fontId="27" fillId="0" borderId="31" xfId="0" applyNumberFormat="1" applyFont="1" applyBorder="1"/>
    <xf numFmtId="43" fontId="19" fillId="0" borderId="0" xfId="0" applyNumberFormat="1" applyFont="1"/>
    <xf numFmtId="0" fontId="21" fillId="0" borderId="41" xfId="0" applyFont="1" applyBorder="1"/>
    <xf numFmtId="3" fontId="17" fillId="0" borderId="4" xfId="0" applyNumberFormat="1" applyFont="1" applyBorder="1"/>
    <xf numFmtId="168" fontId="17" fillId="0" borderId="0" xfId="0" applyNumberFormat="1" applyFont="1"/>
    <xf numFmtId="168" fontId="17" fillId="0" borderId="31" xfId="0" applyNumberFormat="1" applyFont="1" applyBorder="1"/>
    <xf numFmtId="0" fontId="17" fillId="0" borderId="27" xfId="0" applyFont="1" applyBorder="1"/>
    <xf numFmtId="3" fontId="17" fillId="0" borderId="42" xfId="0" applyNumberFormat="1" applyFont="1" applyBorder="1"/>
    <xf numFmtId="0" fontId="19" fillId="7" borderId="1" xfId="0" applyFont="1" applyFill="1" applyBorder="1" applyAlignment="1">
      <alignment horizontal="center"/>
    </xf>
    <xf numFmtId="168" fontId="16" fillId="0" borderId="0" xfId="0" applyNumberFormat="1" applyFont="1"/>
    <xf numFmtId="168" fontId="16" fillId="0" borderId="31" xfId="0" applyNumberFormat="1" applyFont="1" applyBorder="1"/>
    <xf numFmtId="168" fontId="23" fillId="0" borderId="0" xfId="0" applyNumberFormat="1" applyFont="1"/>
    <xf numFmtId="0" fontId="19" fillId="0" borderId="43" xfId="0" applyFont="1" applyBorder="1"/>
    <xf numFmtId="0" fontId="19" fillId="0" borderId="5" xfId="0" applyFont="1" applyBorder="1"/>
    <xf numFmtId="168" fontId="23" fillId="0" borderId="31" xfId="0" applyNumberFormat="1" applyFont="1" applyBorder="1"/>
    <xf numFmtId="3" fontId="17" fillId="0" borderId="5" xfId="0" applyNumberFormat="1" applyFont="1" applyBorder="1"/>
    <xf numFmtId="3" fontId="17" fillId="0" borderId="44" xfId="0" applyNumberFormat="1" applyFont="1" applyBorder="1"/>
    <xf numFmtId="3" fontId="14" fillId="0" borderId="0" xfId="0" applyNumberFormat="1" applyFont="1"/>
    <xf numFmtId="0" fontId="19" fillId="7" borderId="45" xfId="0" applyFont="1" applyFill="1" applyBorder="1"/>
    <xf numFmtId="3" fontId="19" fillId="7" borderId="46" xfId="0" applyNumberFormat="1" applyFont="1" applyFill="1" applyBorder="1"/>
    <xf numFmtId="3" fontId="17" fillId="7" borderId="46" xfId="0" applyNumberFormat="1" applyFont="1" applyFill="1" applyBorder="1"/>
    <xf numFmtId="168" fontId="19" fillId="7" borderId="46" xfId="0" applyNumberFormat="1" applyFont="1" applyFill="1" applyBorder="1"/>
    <xf numFmtId="3" fontId="17" fillId="7" borderId="47" xfId="0" applyNumberFormat="1" applyFont="1" applyFill="1" applyBorder="1"/>
    <xf numFmtId="0" fontId="28" fillId="0" borderId="0" xfId="0" applyFont="1"/>
    <xf numFmtId="0" fontId="29" fillId="0" borderId="0" xfId="0" applyFont="1"/>
    <xf numFmtId="0" fontId="19" fillId="0" borderId="10" xfId="0" applyFont="1" applyBorder="1"/>
    <xf numFmtId="0" fontId="21" fillId="8" borderId="36" xfId="0" applyFont="1" applyFill="1" applyBorder="1"/>
    <xf numFmtId="0" fontId="3" fillId="0" borderId="48" xfId="0" applyFont="1" applyBorder="1"/>
    <xf numFmtId="168" fontId="19" fillId="8" borderId="37" xfId="0" applyNumberFormat="1" applyFont="1" applyFill="1" applyBorder="1"/>
    <xf numFmtId="43" fontId="14" fillId="0" borderId="0" xfId="0" applyNumberFormat="1" applyFont="1"/>
    <xf numFmtId="168" fontId="19" fillId="0" borderId="31" xfId="0" applyNumberFormat="1" applyFont="1" applyBorder="1"/>
    <xf numFmtId="0" fontId="21" fillId="9" borderId="36" xfId="0" applyFont="1" applyFill="1" applyBorder="1"/>
    <xf numFmtId="168" fontId="19" fillId="9" borderId="37" xfId="0" applyNumberFormat="1" applyFont="1" applyFill="1" applyBorder="1"/>
    <xf numFmtId="0" fontId="30" fillId="0" borderId="0" xfId="0" applyFont="1"/>
    <xf numFmtId="0" fontId="31" fillId="0" borderId="0" xfId="0" applyFont="1"/>
    <xf numFmtId="168" fontId="19" fillId="0" borderId="4" xfId="0" applyNumberFormat="1" applyFont="1" applyBorder="1"/>
    <xf numFmtId="168" fontId="19" fillId="0" borderId="29" xfId="0" applyNumberFormat="1" applyFont="1" applyBorder="1"/>
    <xf numFmtId="3" fontId="19" fillId="0" borderId="42" xfId="0" applyNumberFormat="1" applyFont="1" applyBorder="1"/>
    <xf numFmtId="0" fontId="32" fillId="0" borderId="0" xfId="0" applyFont="1"/>
    <xf numFmtId="168" fontId="19" fillId="0" borderId="5" xfId="0" applyNumberFormat="1" applyFont="1" applyBorder="1"/>
    <xf numFmtId="3" fontId="19" fillId="0" borderId="5" xfId="0" applyNumberFormat="1" applyFont="1" applyBorder="1"/>
    <xf numFmtId="43" fontId="18" fillId="0" borderId="0" xfId="0" applyNumberFormat="1" applyFont="1"/>
    <xf numFmtId="3" fontId="19" fillId="0" borderId="44" xfId="0" applyNumberFormat="1" applyFont="1" applyBorder="1"/>
    <xf numFmtId="0" fontId="21" fillId="10" borderId="45" xfId="0" applyFont="1" applyFill="1" applyBorder="1"/>
    <xf numFmtId="168" fontId="19" fillId="10" borderId="46" xfId="0" applyNumberFormat="1" applyFont="1" applyFill="1" applyBorder="1"/>
    <xf numFmtId="168" fontId="19" fillId="10" borderId="47" xfId="0" applyNumberFormat="1" applyFont="1" applyFill="1" applyBorder="1"/>
    <xf numFmtId="0" fontId="14" fillId="0" borderId="0" xfId="0" applyFont="1" applyAlignment="1">
      <alignment wrapText="1"/>
    </xf>
    <xf numFmtId="3" fontId="19" fillId="10" borderId="46" xfId="0" applyNumberFormat="1" applyFont="1" applyFill="1" applyBorder="1"/>
    <xf numFmtId="3" fontId="19" fillId="10" borderId="47" xfId="0" applyNumberFormat="1" applyFont="1" applyFill="1" applyBorder="1"/>
    <xf numFmtId="0" fontId="33" fillId="0" borderId="0" xfId="0" applyFont="1"/>
    <xf numFmtId="168" fontId="33" fillId="0" borderId="0" xfId="0" applyNumberFormat="1" applyFont="1"/>
    <xf numFmtId="168" fontId="33" fillId="0" borderId="31" xfId="0" applyNumberFormat="1" applyFont="1" applyBorder="1"/>
    <xf numFmtId="0" fontId="21" fillId="11" borderId="36" xfId="0" applyFont="1" applyFill="1" applyBorder="1"/>
    <xf numFmtId="168" fontId="19" fillId="11" borderId="37" xfId="0" applyNumberFormat="1" applyFont="1" applyFill="1" applyBorder="1"/>
    <xf numFmtId="168" fontId="34" fillId="0" borderId="0" xfId="0" applyNumberFormat="1" applyFont="1"/>
    <xf numFmtId="168" fontId="34" fillId="0" borderId="31" xfId="0" applyNumberFormat="1" applyFont="1" applyBorder="1"/>
    <xf numFmtId="0" fontId="19" fillId="0" borderId="49" xfId="0" applyFont="1" applyBorder="1"/>
    <xf numFmtId="0" fontId="19" fillId="0" borderId="50" xfId="0" applyFont="1" applyBorder="1"/>
    <xf numFmtId="0" fontId="19" fillId="0" borderId="51" xfId="0" applyFont="1" applyBorder="1"/>
    <xf numFmtId="0" fontId="23" fillId="0" borderId="14" xfId="0" applyFont="1" applyBorder="1"/>
    <xf numFmtId="0" fontId="22" fillId="0" borderId="0" xfId="0" applyFont="1"/>
    <xf numFmtId="166" fontId="23" fillId="0" borderId="0" xfId="0" applyNumberFormat="1" applyFont="1"/>
    <xf numFmtId="166" fontId="27" fillId="0" borderId="0" xfId="0" applyNumberFormat="1" applyFont="1"/>
    <xf numFmtId="0" fontId="4" fillId="0" borderId="0" xfId="0" applyFont="1"/>
    <xf numFmtId="4" fontId="19" fillId="0" borderId="0" xfId="0" applyNumberFormat="1" applyFont="1"/>
    <xf numFmtId="0" fontId="27" fillId="0" borderId="0" xfId="0" applyFont="1" applyAlignment="1">
      <alignment horizontal="center"/>
    </xf>
    <xf numFmtId="0" fontId="23" fillId="0" borderId="31" xfId="0" applyFont="1" applyBorder="1" applyAlignment="1">
      <alignment horizontal="center"/>
    </xf>
    <xf numFmtId="3" fontId="19" fillId="0" borderId="0" xfId="0" applyNumberFormat="1" applyFont="1" applyAlignment="1">
      <alignment horizontal="center"/>
    </xf>
    <xf numFmtId="0" fontId="27" fillId="0" borderId="31" xfId="0" applyFont="1" applyBorder="1"/>
    <xf numFmtId="3" fontId="19" fillId="0" borderId="0" xfId="0" applyNumberFormat="1" applyFont="1"/>
    <xf numFmtId="3" fontId="19" fillId="0" borderId="31" xfId="0" applyNumberFormat="1" applyFont="1" applyBorder="1"/>
    <xf numFmtId="0" fontId="19" fillId="0" borderId="52" xfId="0" applyFont="1" applyBorder="1"/>
    <xf numFmtId="0" fontId="35" fillId="0" borderId="28" xfId="0" applyFont="1" applyBorder="1"/>
    <xf numFmtId="2" fontId="19" fillId="0" borderId="31" xfId="0" applyNumberFormat="1" applyFont="1" applyBorder="1"/>
    <xf numFmtId="0" fontId="35" fillId="0" borderId="21" xfId="0" applyFont="1" applyBorder="1"/>
    <xf numFmtId="0" fontId="35" fillId="0" borderId="26" xfId="0" applyFont="1" applyBorder="1"/>
    <xf numFmtId="38" fontId="14" fillId="0" borderId="0" xfId="0" applyNumberFormat="1" applyFont="1"/>
    <xf numFmtId="0" fontId="35" fillId="0" borderId="53" xfId="0" applyFont="1" applyBorder="1"/>
    <xf numFmtId="0" fontId="19" fillId="0" borderId="54" xfId="0" applyFont="1" applyBorder="1"/>
    <xf numFmtId="0" fontId="35" fillId="0" borderId="55" xfId="0" applyFont="1" applyBorder="1"/>
    <xf numFmtId="166" fontId="17" fillId="0" borderId="39" xfId="0" applyNumberFormat="1" applyFont="1" applyBorder="1" applyAlignment="1">
      <alignment horizontal="right"/>
    </xf>
    <xf numFmtId="166" fontId="17" fillId="0" borderId="56" xfId="0" applyNumberFormat="1" applyFont="1" applyBorder="1" applyAlignment="1">
      <alignment horizontal="right"/>
    </xf>
    <xf numFmtId="166" fontId="19" fillId="0" borderId="39" xfId="0" applyNumberFormat="1" applyFont="1" applyBorder="1"/>
    <xf numFmtId="166" fontId="19" fillId="0" borderId="57" xfId="0" applyNumberFormat="1" applyFont="1" applyBorder="1"/>
    <xf numFmtId="0" fontId="19" fillId="0" borderId="58" xfId="0" applyFont="1" applyBorder="1"/>
    <xf numFmtId="0" fontId="19" fillId="0" borderId="59" xfId="0" applyFont="1" applyBorder="1"/>
    <xf numFmtId="168" fontId="36" fillId="0" borderId="0" xfId="0" applyNumberFormat="1" applyFont="1"/>
    <xf numFmtId="168" fontId="19" fillId="0" borderId="59" xfId="0" applyNumberFormat="1" applyFont="1" applyBorder="1"/>
    <xf numFmtId="2" fontId="19" fillId="0" borderId="0" xfId="0" applyNumberFormat="1" applyFont="1"/>
    <xf numFmtId="168" fontId="18" fillId="12" borderId="1" xfId="0" applyNumberFormat="1" applyFont="1" applyFill="1" applyBorder="1"/>
    <xf numFmtId="0" fontId="19" fillId="13" borderId="1" xfId="0" applyFont="1" applyFill="1" applyBorder="1"/>
    <xf numFmtId="167" fontId="19" fillId="0" borderId="59" xfId="0" applyNumberFormat="1" applyFont="1" applyBorder="1"/>
    <xf numFmtId="168" fontId="37" fillId="0" borderId="31" xfId="0" applyNumberFormat="1" applyFont="1" applyBorder="1"/>
    <xf numFmtId="39" fontId="23" fillId="0" borderId="0" xfId="0" applyNumberFormat="1" applyFont="1"/>
    <xf numFmtId="169" fontId="19" fillId="0" borderId="59" xfId="0" applyNumberFormat="1" applyFont="1" applyBorder="1"/>
    <xf numFmtId="43" fontId="18" fillId="12" borderId="1" xfId="0" applyNumberFormat="1" applyFont="1" applyFill="1" applyBorder="1"/>
    <xf numFmtId="0" fontId="19" fillId="0" borderId="61" xfId="0" applyFont="1" applyBorder="1"/>
    <xf numFmtId="0" fontId="19" fillId="0" borderId="57" xfId="0" applyFont="1" applyBorder="1"/>
    <xf numFmtId="0" fontId="21" fillId="14" borderId="36" xfId="0" applyFont="1" applyFill="1" applyBorder="1"/>
    <xf numFmtId="43" fontId="19" fillId="14" borderId="37" xfId="0" applyNumberFormat="1" applyFont="1" applyFill="1" applyBorder="1"/>
    <xf numFmtId="0" fontId="17" fillId="0" borderId="31" xfId="0" applyFont="1" applyBorder="1"/>
    <xf numFmtId="38" fontId="19" fillId="0" borderId="0" xfId="0" applyNumberFormat="1" applyFont="1"/>
    <xf numFmtId="170" fontId="19" fillId="14" borderId="37" xfId="0" applyNumberFormat="1" applyFont="1" applyFill="1" applyBorder="1"/>
    <xf numFmtId="0" fontId="12" fillId="0" borderId="17" xfId="0" applyFont="1" applyBorder="1"/>
    <xf numFmtId="167" fontId="12" fillId="4" borderId="15" xfId="0" applyNumberFormat="1" applyFont="1" applyFill="1" applyBorder="1" applyAlignment="1">
      <alignment horizontal="center" wrapText="1"/>
    </xf>
    <xf numFmtId="0" fontId="38" fillId="0" borderId="0" xfId="0" applyFont="1"/>
    <xf numFmtId="0" fontId="39" fillId="0" borderId="0" xfId="0" applyFont="1"/>
    <xf numFmtId="0" fontId="40" fillId="0" borderId="0" xfId="0" applyFont="1"/>
    <xf numFmtId="0" fontId="40" fillId="0" borderId="12" xfId="0" applyFont="1" applyBorder="1"/>
    <xf numFmtId="0" fontId="41" fillId="0" borderId="14" xfId="0" applyFont="1" applyBorder="1" applyAlignment="1">
      <alignment horizontal="center"/>
    </xf>
    <xf numFmtId="0" fontId="18" fillId="0" borderId="14" xfId="0" applyFont="1" applyBorder="1" applyAlignment="1">
      <alignment horizontal="center"/>
    </xf>
    <xf numFmtId="0" fontId="18" fillId="0" borderId="13" xfId="0" applyFont="1" applyBorder="1" applyAlignment="1">
      <alignment horizontal="center"/>
    </xf>
    <xf numFmtId="0" fontId="41" fillId="0" borderId="27" xfId="0" applyFont="1" applyBorder="1"/>
    <xf numFmtId="0" fontId="41" fillId="0" borderId="0" xfId="0" applyFont="1" applyAlignment="1">
      <alignment horizontal="center"/>
    </xf>
    <xf numFmtId="0" fontId="41" fillId="0" borderId="31" xfId="0" applyFont="1" applyBorder="1" applyAlignment="1">
      <alignment horizontal="center"/>
    </xf>
    <xf numFmtId="0" fontId="40" fillId="0" borderId="62" xfId="0" applyFont="1" applyBorder="1"/>
    <xf numFmtId="168" fontId="40" fillId="0" borderId="4" xfId="0" applyNumberFormat="1" applyFont="1" applyBorder="1"/>
    <xf numFmtId="2" fontId="40" fillId="0" borderId="4" xfId="0" applyNumberFormat="1" applyFont="1" applyBorder="1"/>
    <xf numFmtId="171" fontId="40" fillId="0" borderId="4" xfId="0" applyNumberFormat="1" applyFont="1" applyBorder="1"/>
    <xf numFmtId="168" fontId="14" fillId="0" borderId="4" xfId="0" applyNumberFormat="1" applyFont="1" applyBorder="1"/>
    <xf numFmtId="43" fontId="40" fillId="0" borderId="2" xfId="0" applyNumberFormat="1" applyFont="1" applyBorder="1" applyAlignment="1">
      <alignment horizontal="center"/>
    </xf>
    <xf numFmtId="172" fontId="14" fillId="0" borderId="4" xfId="0" applyNumberFormat="1" applyFont="1" applyBorder="1"/>
    <xf numFmtId="0" fontId="14" fillId="0" borderId="63" xfId="0" applyFont="1" applyBorder="1"/>
    <xf numFmtId="0" fontId="23" fillId="0" borderId="27" xfId="0" applyFont="1" applyBorder="1"/>
    <xf numFmtId="38" fontId="23" fillId="0" borderId="0" xfId="0" applyNumberFormat="1" applyFont="1"/>
    <xf numFmtId="168" fontId="18" fillId="0" borderId="67" xfId="0" applyNumberFormat="1" applyFont="1" applyBorder="1"/>
    <xf numFmtId="43" fontId="18" fillId="0" borderId="67" xfId="0" applyNumberFormat="1" applyFont="1" applyBorder="1"/>
    <xf numFmtId="172" fontId="18" fillId="0" borderId="67" xfId="0" applyNumberFormat="1" applyFont="1" applyBorder="1"/>
    <xf numFmtId="0" fontId="14" fillId="0" borderId="68" xfId="0" applyFont="1" applyBorder="1"/>
    <xf numFmtId="0" fontId="40" fillId="0" borderId="69" xfId="0" applyFont="1" applyBorder="1"/>
    <xf numFmtId="0" fontId="41" fillId="0" borderId="70" xfId="0" applyFont="1" applyBorder="1" applyAlignment="1">
      <alignment horizontal="center"/>
    </xf>
    <xf numFmtId="0" fontId="18" fillId="0" borderId="70" xfId="0" applyFont="1" applyBorder="1" applyAlignment="1">
      <alignment horizontal="center"/>
    </xf>
    <xf numFmtId="0" fontId="18" fillId="0" borderId="71" xfId="0" applyFont="1" applyBorder="1" applyAlignment="1">
      <alignment horizontal="center"/>
    </xf>
    <xf numFmtId="0" fontId="41" fillId="0" borderId="72" xfId="0" applyFont="1" applyBorder="1"/>
    <xf numFmtId="0" fontId="41" fillId="0" borderId="5" xfId="0" applyFont="1" applyBorder="1" applyAlignment="1">
      <alignment horizontal="center"/>
    </xf>
    <xf numFmtId="0" fontId="18" fillId="0" borderId="5" xfId="0" applyFont="1" applyBorder="1" applyAlignment="1">
      <alignment horizontal="center"/>
    </xf>
    <xf numFmtId="0" fontId="18" fillId="0" borderId="73" xfId="0" applyFont="1" applyBorder="1" applyAlignment="1">
      <alignment horizontal="center"/>
    </xf>
    <xf numFmtId="0" fontId="4" fillId="2" borderId="4" xfId="0" applyFont="1" applyFill="1" applyBorder="1"/>
    <xf numFmtId="165" fontId="40" fillId="0" borderId="4" xfId="0" applyNumberFormat="1" applyFont="1" applyBorder="1"/>
    <xf numFmtId="173" fontId="14" fillId="0" borderId="4" xfId="0" applyNumberFormat="1" applyFont="1" applyBorder="1"/>
    <xf numFmtId="167" fontId="14" fillId="0" borderId="63" xfId="0" applyNumberFormat="1" applyFont="1" applyBorder="1"/>
    <xf numFmtId="43" fontId="40" fillId="0" borderId="0" xfId="0" applyNumberFormat="1" applyFont="1" applyAlignment="1">
      <alignment horizontal="center"/>
    </xf>
    <xf numFmtId="0" fontId="7" fillId="2" borderId="4" xfId="0" applyFont="1" applyFill="1" applyBorder="1"/>
    <xf numFmtId="0" fontId="7" fillId="2" borderId="4" xfId="0" applyFont="1" applyFill="1" applyBorder="1" applyAlignment="1">
      <alignment horizontal="right"/>
    </xf>
    <xf numFmtId="165" fontId="14" fillId="0" borderId="63" xfId="0" applyNumberFormat="1" applyFont="1" applyBorder="1"/>
    <xf numFmtId="174" fontId="14" fillId="0" borderId="63" xfId="0" applyNumberFormat="1" applyFont="1" applyBorder="1"/>
    <xf numFmtId="0" fontId="40" fillId="0" borderId="0" xfId="0" applyFont="1" applyAlignment="1">
      <alignment horizontal="center"/>
    </xf>
    <xf numFmtId="43" fontId="16" fillId="0" borderId="0" xfId="0" applyNumberFormat="1" applyFont="1"/>
    <xf numFmtId="43" fontId="16" fillId="0" borderId="31" xfId="0" applyNumberFormat="1" applyFont="1" applyBorder="1"/>
    <xf numFmtId="3" fontId="7" fillId="2" borderId="4" xfId="0" applyNumberFormat="1" applyFont="1" applyFill="1" applyBorder="1" applyAlignment="1">
      <alignment horizontal="right"/>
    </xf>
    <xf numFmtId="0" fontId="18" fillId="0" borderId="50" xfId="0" applyFont="1" applyBorder="1" applyAlignment="1">
      <alignment horizontal="center"/>
    </xf>
    <xf numFmtId="165" fontId="41" fillId="0" borderId="68" xfId="0" applyNumberFormat="1" applyFont="1" applyBorder="1"/>
    <xf numFmtId="0" fontId="23" fillId="0" borderId="50" xfId="0" applyFont="1" applyBorder="1"/>
    <xf numFmtId="168" fontId="27" fillId="0" borderId="51" xfId="0" applyNumberFormat="1" applyFont="1" applyBorder="1"/>
    <xf numFmtId="0" fontId="18" fillId="0" borderId="0" xfId="0" applyFont="1" applyAlignment="1">
      <alignment horizontal="center"/>
    </xf>
    <xf numFmtId="165" fontId="41" fillId="0" borderId="0" xfId="0" applyNumberFormat="1" applyFont="1"/>
    <xf numFmtId="168" fontId="43" fillId="0" borderId="0" xfId="0" applyNumberFormat="1" applyFont="1"/>
    <xf numFmtId="0" fontId="41" fillId="0" borderId="75" xfId="0" applyFont="1" applyBorder="1" applyAlignment="1">
      <alignment horizontal="center"/>
    </xf>
    <xf numFmtId="0" fontId="18" fillId="0" borderId="75" xfId="0" applyFont="1" applyBorder="1" applyAlignment="1">
      <alignment horizontal="center"/>
    </xf>
    <xf numFmtId="0" fontId="18" fillId="0" borderId="76" xfId="0" applyFont="1" applyBorder="1" applyAlignment="1">
      <alignment horizontal="center"/>
    </xf>
    <xf numFmtId="0" fontId="41" fillId="0" borderId="78" xfId="0" applyFont="1" applyBorder="1" applyAlignment="1">
      <alignment horizontal="center"/>
    </xf>
    <xf numFmtId="0" fontId="18" fillId="0" borderId="78" xfId="0" applyFont="1" applyBorder="1" applyAlignment="1">
      <alignment horizontal="center"/>
    </xf>
    <xf numFmtId="0" fontId="18" fillId="0" borderId="79" xfId="0" applyFont="1" applyBorder="1" applyAlignment="1">
      <alignment horizontal="center"/>
    </xf>
    <xf numFmtId="0" fontId="14" fillId="0" borderId="62" xfId="0" applyFont="1" applyBorder="1"/>
    <xf numFmtId="0" fontId="16" fillId="0" borderId="14" xfId="0" applyFont="1" applyBorder="1"/>
    <xf numFmtId="168" fontId="40" fillId="0" borderId="78" xfId="0" applyNumberFormat="1" applyFont="1" applyBorder="1"/>
    <xf numFmtId="165" fontId="40" fillId="0" borderId="78" xfId="0" applyNumberFormat="1" applyFont="1" applyBorder="1"/>
    <xf numFmtId="173" fontId="14" fillId="0" borderId="78" xfId="0" applyNumberFormat="1" applyFont="1" applyBorder="1"/>
    <xf numFmtId="168" fontId="14" fillId="0" borderId="78" xfId="0" applyNumberFormat="1" applyFont="1" applyBorder="1"/>
    <xf numFmtId="0" fontId="12" fillId="0" borderId="80" xfId="0" applyFont="1" applyBorder="1"/>
    <xf numFmtId="0" fontId="12" fillId="0" borderId="2" xfId="0" applyFont="1" applyBorder="1"/>
    <xf numFmtId="174" fontId="14" fillId="0" borderId="81" xfId="0" applyNumberFormat="1" applyFont="1" applyBorder="1"/>
    <xf numFmtId="173" fontId="14" fillId="0" borderId="0" xfId="0" applyNumberFormat="1" applyFont="1"/>
    <xf numFmtId="174" fontId="2" fillId="0" borderId="0" xfId="0" applyNumberFormat="1" applyFont="1"/>
    <xf numFmtId="0" fontId="16" fillId="0" borderId="31" xfId="0" applyFont="1" applyBorder="1" applyAlignment="1">
      <alignment horizontal="center"/>
    </xf>
    <xf numFmtId="1" fontId="19" fillId="0" borderId="0" xfId="0" applyNumberFormat="1" applyFont="1"/>
    <xf numFmtId="174" fontId="41" fillId="0" borderId="83" xfId="0" applyNumberFormat="1" applyFont="1" applyBorder="1"/>
    <xf numFmtId="167" fontId="41" fillId="0" borderId="0" xfId="0" applyNumberFormat="1" applyFont="1"/>
    <xf numFmtId="0" fontId="14" fillId="0" borderId="75" xfId="0" applyFont="1" applyBorder="1"/>
    <xf numFmtId="0" fontId="41" fillId="0" borderId="84" xfId="0" applyFont="1" applyBorder="1" applyAlignment="1">
      <alignment horizontal="center"/>
    </xf>
    <xf numFmtId="0" fontId="18" fillId="0" borderId="84" xfId="0" applyFont="1" applyBorder="1" applyAlignment="1">
      <alignment horizontal="center"/>
    </xf>
    <xf numFmtId="0" fontId="18" fillId="0" borderId="85" xfId="0" applyFont="1" applyBorder="1" applyAlignment="1">
      <alignment horizontal="center"/>
    </xf>
    <xf numFmtId="0" fontId="41" fillId="0" borderId="87" xfId="0" applyFont="1" applyBorder="1" applyAlignment="1">
      <alignment horizontal="center"/>
    </xf>
    <xf numFmtId="0" fontId="18" fillId="0" borderId="87" xfId="0" applyFont="1" applyBorder="1" applyAlignment="1">
      <alignment horizontal="center"/>
    </xf>
    <xf numFmtId="0" fontId="18" fillId="0" borderId="88" xfId="0" applyFont="1" applyBorder="1" applyAlignment="1">
      <alignment horizontal="center"/>
    </xf>
    <xf numFmtId="168" fontId="40" fillId="0" borderId="47" xfId="0" applyNumberFormat="1" applyFont="1" applyBorder="1"/>
    <xf numFmtId="172" fontId="14" fillId="0" borderId="89" xfId="0" applyNumberFormat="1" applyFont="1" applyBorder="1" applyAlignment="1">
      <alignment horizontal="center"/>
    </xf>
    <xf numFmtId="167" fontId="14" fillId="0" borderId="89" xfId="0" applyNumberFormat="1" applyFont="1" applyBorder="1" applyAlignment="1">
      <alignment horizontal="center"/>
    </xf>
    <xf numFmtId="0" fontId="8" fillId="5" borderId="1" xfId="0" applyFont="1" applyFill="1" applyBorder="1"/>
    <xf numFmtId="175" fontId="14" fillId="0" borderId="91" xfId="0" applyNumberFormat="1" applyFont="1" applyBorder="1" applyAlignment="1">
      <alignment horizontal="right"/>
    </xf>
    <xf numFmtId="0" fontId="44" fillId="0" borderId="0" xfId="0" applyFont="1"/>
    <xf numFmtId="0" fontId="45" fillId="0" borderId="0" xfId="0" applyFont="1"/>
    <xf numFmtId="0" fontId="12" fillId="0" borderId="54" xfId="0" applyFont="1" applyBorder="1"/>
    <xf numFmtId="0" fontId="24" fillId="0" borderId="33" xfId="0" applyFont="1" applyBorder="1"/>
    <xf numFmtId="0" fontId="19" fillId="0" borderId="74" xfId="0" applyFont="1" applyBorder="1"/>
    <xf numFmtId="167" fontId="46" fillId="0" borderId="15" xfId="0" applyNumberFormat="1" applyFont="1" applyBorder="1"/>
    <xf numFmtId="0" fontId="47" fillId="0" borderId="75" xfId="0" applyFont="1" applyBorder="1" applyAlignment="1">
      <alignment horizontal="center"/>
    </xf>
    <xf numFmtId="167" fontId="46" fillId="0" borderId="15" xfId="0" applyNumberFormat="1" applyFont="1" applyBorder="1" applyAlignment="1">
      <alignment horizontal="center"/>
    </xf>
    <xf numFmtId="0" fontId="47" fillId="0" borderId="76" xfId="0" applyFont="1" applyBorder="1" applyAlignment="1">
      <alignment horizontal="center"/>
    </xf>
    <xf numFmtId="0" fontId="47" fillId="0" borderId="0" xfId="0" applyFont="1" applyAlignment="1">
      <alignment horizontal="center"/>
    </xf>
    <xf numFmtId="0" fontId="47" fillId="0" borderId="62" xfId="0" applyFont="1" applyBorder="1"/>
    <xf numFmtId="0" fontId="47" fillId="0" borderId="84" xfId="0" applyFont="1" applyBorder="1" applyAlignment="1">
      <alignment horizontal="center"/>
    </xf>
    <xf numFmtId="0" fontId="47" fillId="0" borderId="85" xfId="0" applyFont="1" applyBorder="1" applyAlignment="1">
      <alignment horizontal="center"/>
    </xf>
    <xf numFmtId="0" fontId="18" fillId="0" borderId="92" xfId="0" applyFont="1" applyBorder="1" applyAlignment="1">
      <alignment horizontal="center"/>
    </xf>
    <xf numFmtId="0" fontId="48" fillId="0" borderId="62" xfId="0" applyFont="1" applyBorder="1"/>
    <xf numFmtId="0" fontId="14" fillId="0" borderId="50" xfId="0" applyFont="1" applyBorder="1"/>
    <xf numFmtId="168" fontId="7" fillId="0" borderId="4" xfId="0" applyNumberFormat="1" applyFont="1" applyBorder="1"/>
    <xf numFmtId="2" fontId="7" fillId="0" borderId="4" xfId="0" applyNumberFormat="1" applyFont="1" applyBorder="1"/>
    <xf numFmtId="171" fontId="7" fillId="0" borderId="4" xfId="0" applyNumberFormat="1" applyFont="1" applyBorder="1"/>
    <xf numFmtId="172" fontId="14" fillId="0" borderId="50" xfId="0" applyNumberFormat="1" applyFont="1" applyBorder="1"/>
    <xf numFmtId="167" fontId="14" fillId="0" borderId="93" xfId="0" applyNumberFormat="1" applyFont="1" applyBorder="1"/>
    <xf numFmtId="167" fontId="14" fillId="0" borderId="94" xfId="0" applyNumberFormat="1" applyFont="1" applyBorder="1"/>
    <xf numFmtId="43" fontId="19" fillId="0" borderId="4" xfId="0" applyNumberFormat="1" applyFont="1" applyBorder="1"/>
    <xf numFmtId="175" fontId="18" fillId="0" borderId="95" xfId="0" applyNumberFormat="1" applyFont="1" applyBorder="1"/>
    <xf numFmtId="176" fontId="19" fillId="0" borderId="81" xfId="0" applyNumberFormat="1" applyFont="1" applyBorder="1"/>
    <xf numFmtId="172" fontId="7" fillId="0" borderId="0" xfId="0" applyNumberFormat="1" applyFont="1"/>
    <xf numFmtId="0" fontId="12" fillId="0" borderId="55" xfId="0" applyFont="1" applyBorder="1"/>
    <xf numFmtId="0" fontId="24" fillId="0" borderId="40" xfId="0" applyFont="1" applyBorder="1"/>
    <xf numFmtId="177" fontId="3" fillId="0" borderId="96" xfId="0" applyNumberFormat="1" applyFont="1" applyBorder="1"/>
    <xf numFmtId="174" fontId="3" fillId="0" borderId="0" xfId="0" applyNumberFormat="1" applyFont="1"/>
    <xf numFmtId="0" fontId="3" fillId="0" borderId="6" xfId="0" applyFont="1" applyBorder="1"/>
    <xf numFmtId="174" fontId="3" fillId="0" borderId="6" xfId="0" applyNumberFormat="1" applyFont="1" applyBorder="1"/>
    <xf numFmtId="0" fontId="3" fillId="0" borderId="59" xfId="0" applyFont="1" applyBorder="1"/>
    <xf numFmtId="0" fontId="4" fillId="0" borderId="19" xfId="0" applyFont="1" applyBorder="1"/>
    <xf numFmtId="0" fontId="49" fillId="15" borderId="21" xfId="0" applyFont="1" applyFill="1" applyBorder="1" applyAlignment="1">
      <alignment horizontal="center"/>
    </xf>
    <xf numFmtId="0" fontId="49" fillId="15" borderId="41" xfId="0" applyFont="1" applyFill="1" applyBorder="1" applyAlignment="1">
      <alignment horizontal="center"/>
    </xf>
    <xf numFmtId="0" fontId="4" fillId="0" borderId="29" xfId="0" applyFont="1" applyBorder="1"/>
    <xf numFmtId="0" fontId="19" fillId="0" borderId="65" xfId="0" applyFont="1" applyBorder="1"/>
    <xf numFmtId="167" fontId="4" fillId="0" borderId="42" xfId="0" applyNumberFormat="1" applyFont="1" applyBorder="1" applyAlignment="1">
      <alignment horizontal="center"/>
    </xf>
    <xf numFmtId="176" fontId="50" fillId="0" borderId="83" xfId="0" applyNumberFormat="1" applyFont="1" applyBorder="1"/>
    <xf numFmtId="0" fontId="51" fillId="5" borderId="1" xfId="0" applyFont="1" applyFill="1" applyBorder="1"/>
    <xf numFmtId="0" fontId="47" fillId="0" borderId="14" xfId="0" applyFont="1" applyBorder="1" applyAlignment="1">
      <alignment horizontal="center"/>
    </xf>
    <xf numFmtId="0" fontId="47" fillId="0" borderId="13" xfId="0" applyFont="1" applyBorder="1" applyAlignment="1">
      <alignment horizontal="center"/>
    </xf>
    <xf numFmtId="0" fontId="47" fillId="0" borderId="27" xfId="0" applyFont="1" applyBorder="1"/>
    <xf numFmtId="0" fontId="47" fillId="0" borderId="31" xfId="0" applyFont="1" applyBorder="1" applyAlignment="1">
      <alignment horizontal="center"/>
    </xf>
    <xf numFmtId="165" fontId="7" fillId="0" borderId="4" xfId="0" applyNumberFormat="1" applyFont="1" applyBorder="1"/>
    <xf numFmtId="0" fontId="4" fillId="0" borderId="36" xfId="0" applyFont="1" applyBorder="1"/>
    <xf numFmtId="167" fontId="4" fillId="0" borderId="37" xfId="0" applyNumberFormat="1" applyFont="1" applyBorder="1" applyAlignment="1">
      <alignment horizontal="center"/>
    </xf>
    <xf numFmtId="175" fontId="19" fillId="0" borderId="4" xfId="0" applyNumberFormat="1" applyFont="1" applyBorder="1"/>
    <xf numFmtId="167" fontId="4" fillId="0" borderId="97" xfId="0" applyNumberFormat="1" applyFont="1" applyBorder="1" applyAlignment="1">
      <alignment horizontal="center"/>
    </xf>
    <xf numFmtId="173" fontId="19" fillId="0" borderId="0" xfId="0" applyNumberFormat="1" applyFont="1"/>
    <xf numFmtId="174" fontId="19" fillId="0" borderId="0" xfId="0" applyNumberFormat="1" applyFont="1"/>
    <xf numFmtId="175" fontId="7" fillId="0" borderId="81" xfId="0" applyNumberFormat="1" applyFont="1" applyBorder="1" applyAlignment="1">
      <alignment horizontal="center"/>
    </xf>
    <xf numFmtId="168" fontId="7" fillId="0" borderId="0" xfId="0" applyNumberFormat="1" applyFont="1" applyAlignment="1">
      <alignment horizontal="center"/>
    </xf>
    <xf numFmtId="167" fontId="7" fillId="0" borderId="0" xfId="0" applyNumberFormat="1" applyFont="1"/>
    <xf numFmtId="0" fontId="48" fillId="0" borderId="72" xfId="0" applyFont="1" applyBorder="1"/>
    <xf numFmtId="168" fontId="7" fillId="0" borderId="5" xfId="0" applyNumberFormat="1" applyFont="1" applyBorder="1"/>
    <xf numFmtId="165" fontId="7" fillId="0" borderId="5" xfId="0" applyNumberFormat="1" applyFont="1" applyBorder="1"/>
    <xf numFmtId="175" fontId="19" fillId="0" borderId="5" xfId="0" applyNumberFormat="1" applyFont="1" applyBorder="1"/>
    <xf numFmtId="175" fontId="7" fillId="0" borderId="73" xfId="0" applyNumberFormat="1" applyFont="1" applyBorder="1" applyAlignment="1">
      <alignment horizontal="center"/>
    </xf>
    <xf numFmtId="0" fontId="19" fillId="0" borderId="64" xfId="0" applyFont="1" applyBorder="1"/>
    <xf numFmtId="0" fontId="50" fillId="0" borderId="65" xfId="0" applyFont="1" applyBorder="1"/>
    <xf numFmtId="175" fontId="50" fillId="0" borderId="98" xfId="0" applyNumberFormat="1" applyFont="1" applyBorder="1"/>
    <xf numFmtId="172" fontId="52" fillId="0" borderId="0" xfId="0" applyNumberFormat="1" applyFont="1"/>
    <xf numFmtId="167" fontId="52" fillId="0" borderId="0" xfId="0" applyNumberFormat="1" applyFont="1"/>
    <xf numFmtId="0" fontId="23" fillId="9" borderId="1" xfId="0" applyFont="1" applyFill="1" applyBorder="1"/>
    <xf numFmtId="0" fontId="17" fillId="9" borderId="1" xfId="0" applyFont="1" applyFill="1" applyBorder="1"/>
    <xf numFmtId="173" fontId="19" fillId="0" borderId="4" xfId="0" applyNumberFormat="1" applyFont="1" applyBorder="1"/>
    <xf numFmtId="168" fontId="23" fillId="9" borderId="1" xfId="0" applyNumberFormat="1" applyFont="1" applyFill="1" applyBorder="1"/>
    <xf numFmtId="168" fontId="23" fillId="9" borderId="99" xfId="0" applyNumberFormat="1" applyFont="1" applyFill="1" applyBorder="1"/>
    <xf numFmtId="175" fontId="7" fillId="0" borderId="81" xfId="0" applyNumberFormat="1" applyFont="1" applyBorder="1"/>
    <xf numFmtId="0" fontId="23" fillId="0" borderId="100" xfId="0" applyFont="1" applyBorder="1"/>
    <xf numFmtId="0" fontId="23" fillId="0" borderId="101" xfId="0" applyFont="1" applyBorder="1"/>
    <xf numFmtId="0" fontId="23" fillId="0" borderId="102" xfId="0" applyFont="1" applyBorder="1"/>
    <xf numFmtId="0" fontId="23" fillId="0" borderId="103" xfId="0" applyFont="1" applyBorder="1"/>
    <xf numFmtId="0" fontId="23" fillId="0" borderId="104" xfId="0" applyFont="1" applyBorder="1"/>
    <xf numFmtId="0" fontId="23" fillId="0" borderId="105" xfId="0" applyFont="1" applyBorder="1"/>
    <xf numFmtId="0" fontId="23" fillId="0" borderId="18" xfId="0" applyFont="1" applyBorder="1"/>
    <xf numFmtId="0" fontId="23" fillId="0" borderId="20" xfId="0" applyFont="1" applyBorder="1"/>
    <xf numFmtId="0" fontId="23" fillId="0" borderId="23" xfId="0" applyFont="1" applyBorder="1"/>
    <xf numFmtId="0" fontId="17" fillId="0" borderId="77" xfId="0" applyFont="1" applyBorder="1"/>
    <xf numFmtId="168" fontId="17" fillId="0" borderId="78" xfId="0" applyNumberFormat="1" applyFont="1" applyBorder="1"/>
    <xf numFmtId="0" fontId="47" fillId="0" borderId="50" xfId="0" applyFont="1" applyBorder="1" applyAlignment="1">
      <alignment horizontal="center"/>
    </xf>
    <xf numFmtId="175" fontId="50" fillId="0" borderId="83" xfId="0" applyNumberFormat="1" applyFont="1" applyBorder="1"/>
    <xf numFmtId="2" fontId="17" fillId="0" borderId="78" xfId="0" applyNumberFormat="1" applyFont="1" applyBorder="1"/>
    <xf numFmtId="0" fontId="8" fillId="14" borderId="1" xfId="0" applyFont="1" applyFill="1" applyBorder="1"/>
    <xf numFmtId="2" fontId="17" fillId="0" borderId="79" xfId="0" applyNumberFormat="1" applyFont="1" applyBorder="1"/>
    <xf numFmtId="0" fontId="19" fillId="14" borderId="1" xfId="0" applyFont="1" applyFill="1" applyBorder="1"/>
    <xf numFmtId="0" fontId="17" fillId="0" borderId="62" xfId="0" applyFont="1" applyBorder="1"/>
    <xf numFmtId="0" fontId="51" fillId="14" borderId="1" xfId="0" applyFont="1" applyFill="1" applyBorder="1"/>
    <xf numFmtId="0" fontId="17" fillId="0" borderId="4" xfId="0" applyFont="1" applyBorder="1"/>
    <xf numFmtId="168" fontId="17" fillId="0" borderId="4" xfId="0" applyNumberFormat="1" applyFont="1" applyBorder="1"/>
    <xf numFmtId="2" fontId="17" fillId="0" borderId="4" xfId="0" applyNumberFormat="1" applyFont="1" applyBorder="1"/>
    <xf numFmtId="2" fontId="17" fillId="0" borderId="81" xfId="0" applyNumberFormat="1" applyFont="1" applyBorder="1"/>
    <xf numFmtId="0" fontId="50" fillId="0" borderId="76" xfId="0" applyFont="1" applyBorder="1" applyAlignment="1">
      <alignment horizontal="center"/>
    </xf>
    <xf numFmtId="0" fontId="50" fillId="0" borderId="85" xfId="0" applyFont="1" applyBorder="1" applyAlignment="1">
      <alignment horizontal="center"/>
    </xf>
    <xf numFmtId="0" fontId="50" fillId="0" borderId="27" xfId="0" applyFont="1" applyBorder="1"/>
    <xf numFmtId="0" fontId="19" fillId="0" borderId="62" xfId="0" applyFont="1" applyBorder="1"/>
    <xf numFmtId="178" fontId="19" fillId="0" borderId="81" xfId="0" applyNumberFormat="1" applyFont="1" applyBorder="1"/>
    <xf numFmtId="178" fontId="19" fillId="0" borderId="106" xfId="0" applyNumberFormat="1" applyFont="1" applyBorder="1" applyAlignment="1">
      <alignment horizontal="center"/>
    </xf>
    <xf numFmtId="0" fontId="23" fillId="0" borderId="4" xfId="0" applyFont="1" applyBorder="1"/>
    <xf numFmtId="168" fontId="23" fillId="0" borderId="4" xfId="0" applyNumberFormat="1" applyFont="1" applyBorder="1"/>
    <xf numFmtId="2" fontId="23" fillId="0" borderId="4" xfId="0" applyNumberFormat="1" applyFont="1" applyBorder="1"/>
    <xf numFmtId="175" fontId="7" fillId="0" borderId="0" xfId="0" applyNumberFormat="1" applyFont="1"/>
    <xf numFmtId="2" fontId="23" fillId="0" borderId="81" xfId="0" applyNumberFormat="1" applyFont="1" applyBorder="1"/>
    <xf numFmtId="0" fontId="23" fillId="0" borderId="62" xfId="0" applyFont="1" applyBorder="1"/>
    <xf numFmtId="0" fontId="19" fillId="0" borderId="107" xfId="0" applyFont="1" applyBorder="1"/>
    <xf numFmtId="0" fontId="19" fillId="0" borderId="67" xfId="0" applyFont="1" applyBorder="1"/>
    <xf numFmtId="0" fontId="19" fillId="0" borderId="83" xfId="0" applyFont="1" applyBorder="1"/>
    <xf numFmtId="178" fontId="50" fillId="0" borderId="81" xfId="0" applyNumberFormat="1" applyFont="1" applyBorder="1"/>
    <xf numFmtId="0" fontId="50" fillId="0" borderId="51" xfId="0" applyFont="1" applyBorder="1" applyAlignment="1">
      <alignment horizontal="center"/>
    </xf>
    <xf numFmtId="0" fontId="51" fillId="0" borderId="0" xfId="0" applyFont="1"/>
    <xf numFmtId="43" fontId="50" fillId="0" borderId="108" xfId="0" applyNumberFormat="1" applyFont="1" applyBorder="1"/>
    <xf numFmtId="175" fontId="50" fillId="0" borderId="0" xfId="0" applyNumberFormat="1" applyFont="1"/>
    <xf numFmtId="0" fontId="33" fillId="0" borderId="74" xfId="0" applyFont="1" applyBorder="1"/>
    <xf numFmtId="0" fontId="53" fillId="0" borderId="75" xfId="0" applyFont="1" applyBorder="1" applyAlignment="1">
      <alignment horizontal="center"/>
    </xf>
    <xf numFmtId="0" fontId="54" fillId="0" borderId="75" xfId="0" applyFont="1" applyBorder="1" applyAlignment="1">
      <alignment horizontal="center"/>
    </xf>
    <xf numFmtId="0" fontId="54" fillId="0" borderId="76" xfId="0" applyFont="1" applyBorder="1" applyAlignment="1">
      <alignment horizontal="center"/>
    </xf>
    <xf numFmtId="0" fontId="53" fillId="0" borderId="77" xfId="0" applyFont="1" applyBorder="1"/>
    <xf numFmtId="0" fontId="53" fillId="0" borderId="78" xfId="0" applyFont="1" applyBorder="1" applyAlignment="1">
      <alignment horizontal="center"/>
    </xf>
    <xf numFmtId="0" fontId="54" fillId="0" borderId="78" xfId="0" applyFont="1" applyBorder="1" applyAlignment="1">
      <alignment horizontal="center"/>
    </xf>
    <xf numFmtId="0" fontId="54" fillId="0" borderId="79" xfId="0" applyFont="1" applyBorder="1" applyAlignment="1">
      <alignment horizontal="center"/>
    </xf>
    <xf numFmtId="0" fontId="55" fillId="0" borderId="62" xfId="0" applyFont="1" applyBorder="1"/>
    <xf numFmtId="168" fontId="33" fillId="0" borderId="4" xfId="0" applyNumberFormat="1" applyFont="1" applyBorder="1"/>
    <xf numFmtId="165" fontId="33" fillId="0" borderId="4" xfId="0" applyNumberFormat="1" applyFont="1" applyBorder="1"/>
    <xf numFmtId="173" fontId="17" fillId="0" borderId="4" xfId="0" applyNumberFormat="1" applyFont="1" applyBorder="1"/>
    <xf numFmtId="167" fontId="17" fillId="0" borderId="81" xfId="0" applyNumberFormat="1" applyFont="1" applyBorder="1"/>
    <xf numFmtId="0" fontId="33" fillId="0" borderId="107" xfId="0" applyFont="1" applyBorder="1"/>
    <xf numFmtId="0" fontId="33" fillId="0" borderId="67" xfId="0" applyFont="1" applyBorder="1"/>
    <xf numFmtId="0" fontId="54" fillId="0" borderId="67" xfId="0" applyFont="1" applyBorder="1" applyAlignment="1">
      <alignment horizontal="center"/>
    </xf>
    <xf numFmtId="167" fontId="32" fillId="0" borderId="83" xfId="0" applyNumberFormat="1" applyFont="1" applyBorder="1"/>
    <xf numFmtId="0" fontId="17" fillId="0" borderId="12" xfId="0" applyFont="1" applyBorder="1"/>
    <xf numFmtId="0" fontId="53" fillId="0" borderId="14" xfId="0" applyFont="1" applyBorder="1" applyAlignment="1">
      <alignment horizontal="center"/>
    </xf>
    <xf numFmtId="0" fontId="54" fillId="0" borderId="14" xfId="0" applyFont="1" applyBorder="1" applyAlignment="1">
      <alignment horizontal="center"/>
    </xf>
    <xf numFmtId="0" fontId="54" fillId="0" borderId="13" xfId="0" applyFont="1" applyBorder="1" applyAlignment="1">
      <alignment horizontal="center"/>
    </xf>
    <xf numFmtId="0" fontId="8" fillId="5" borderId="109" xfId="0" applyFont="1" applyFill="1" applyBorder="1"/>
    <xf numFmtId="0" fontId="54" fillId="0" borderId="86" xfId="0" applyFont="1" applyBorder="1"/>
    <xf numFmtId="0" fontId="19" fillId="5" borderId="110" xfId="0" applyFont="1" applyFill="1" applyBorder="1"/>
    <xf numFmtId="0" fontId="53" fillId="0" borderId="111" xfId="0" applyFont="1" applyBorder="1" applyAlignment="1">
      <alignment horizontal="center"/>
    </xf>
    <xf numFmtId="0" fontId="8" fillId="5" borderId="110" xfId="0" applyFont="1" applyFill="1" applyBorder="1"/>
    <xf numFmtId="0" fontId="54" fillId="0" borderId="111" xfId="0" applyFont="1" applyBorder="1" applyAlignment="1">
      <alignment horizontal="center"/>
    </xf>
    <xf numFmtId="0" fontId="8" fillId="0" borderId="14" xfId="0" applyFont="1" applyBorder="1"/>
    <xf numFmtId="0" fontId="54" fillId="0" borderId="112" xfId="0" applyFont="1" applyBorder="1" applyAlignment="1">
      <alignment horizontal="center"/>
    </xf>
    <xf numFmtId="0" fontId="56" fillId="0" borderId="62" xfId="0" applyFont="1" applyBorder="1"/>
    <xf numFmtId="0" fontId="19" fillId="0" borderId="113" xfId="0" applyFont="1" applyBorder="1"/>
    <xf numFmtId="0" fontId="47" fillId="0" borderId="114" xfId="0" applyFont="1" applyBorder="1" applyAlignment="1">
      <alignment horizontal="center"/>
    </xf>
    <xf numFmtId="0" fontId="47" fillId="0" borderId="115" xfId="0" applyFont="1" applyBorder="1" applyAlignment="1">
      <alignment horizontal="center"/>
    </xf>
    <xf numFmtId="0" fontId="47" fillId="0" borderId="116" xfId="0" applyFont="1" applyBorder="1"/>
    <xf numFmtId="0" fontId="47" fillId="0" borderId="87" xfId="0" applyFont="1" applyBorder="1" applyAlignment="1">
      <alignment horizontal="center"/>
    </xf>
    <xf numFmtId="0" fontId="47" fillId="0" borderId="88" xfId="0" applyFont="1" applyBorder="1" applyAlignment="1">
      <alignment horizontal="center"/>
    </xf>
    <xf numFmtId="0" fontId="48" fillId="0" borderId="27" xfId="0" applyFont="1" applyBorder="1"/>
    <xf numFmtId="168" fontId="7" fillId="0" borderId="78" xfId="0" applyNumberFormat="1" applyFont="1" applyBorder="1"/>
    <xf numFmtId="2" fontId="7" fillId="0" borderId="78" xfId="0" applyNumberFormat="1" applyFont="1" applyBorder="1"/>
    <xf numFmtId="171" fontId="7" fillId="0" borderId="78" xfId="0" applyNumberFormat="1" applyFont="1" applyBorder="1"/>
    <xf numFmtId="0" fontId="17" fillId="0" borderId="107" xfId="0" applyFont="1" applyBorder="1"/>
    <xf numFmtId="43" fontId="19" fillId="0" borderId="78" xfId="0" applyNumberFormat="1" applyFont="1" applyBorder="1"/>
    <xf numFmtId="167" fontId="57" fillId="0" borderId="0" xfId="0" applyNumberFormat="1" applyFont="1"/>
    <xf numFmtId="167" fontId="19" fillId="0" borderId="117" xfId="0" applyNumberFormat="1" applyFont="1" applyBorder="1"/>
    <xf numFmtId="0" fontId="17" fillId="0" borderId="100" xfId="0" applyFont="1" applyBorder="1"/>
    <xf numFmtId="0" fontId="17" fillId="0" borderId="101" xfId="0" applyFont="1" applyBorder="1"/>
    <xf numFmtId="0" fontId="54" fillId="0" borderId="118" xfId="0" applyFont="1" applyBorder="1" applyAlignment="1">
      <alignment horizontal="center"/>
    </xf>
    <xf numFmtId="0" fontId="54" fillId="0" borderId="101" xfId="0" applyFont="1" applyBorder="1" applyAlignment="1">
      <alignment horizontal="center"/>
    </xf>
    <xf numFmtId="0" fontId="54" fillId="0" borderId="102" xfId="0" applyFont="1" applyBorder="1" applyAlignment="1">
      <alignment horizontal="center"/>
    </xf>
    <xf numFmtId="167" fontId="19" fillId="0" borderId="81" xfId="0" applyNumberFormat="1" applyFont="1" applyBorder="1"/>
    <xf numFmtId="0" fontId="17" fillId="0" borderId="119" xfId="0" applyFont="1" applyBorder="1"/>
    <xf numFmtId="0" fontId="53" fillId="0" borderId="120" xfId="0" applyFont="1" applyBorder="1" applyAlignment="1">
      <alignment horizontal="center"/>
    </xf>
    <xf numFmtId="0" fontId="54" fillId="0" borderId="59" xfId="0" applyFont="1" applyBorder="1" applyAlignment="1">
      <alignment horizontal="center"/>
    </xf>
    <xf numFmtId="0" fontId="54" fillId="0" borderId="120" xfId="0" applyFont="1" applyBorder="1" applyAlignment="1">
      <alignment horizontal="center"/>
    </xf>
    <xf numFmtId="0" fontId="54" fillId="0" borderId="121" xfId="0" applyFont="1" applyBorder="1" applyAlignment="1">
      <alignment horizontal="center"/>
    </xf>
    <xf numFmtId="0" fontId="54" fillId="0" borderId="122" xfId="0" applyFont="1" applyBorder="1"/>
    <xf numFmtId="0" fontId="53" fillId="0" borderId="104" xfId="0" applyFont="1" applyBorder="1" applyAlignment="1">
      <alignment horizontal="center"/>
    </xf>
    <xf numFmtId="168" fontId="33" fillId="0" borderId="21" xfId="0" applyNumberFormat="1" applyFont="1" applyBorder="1"/>
    <xf numFmtId="2" fontId="7" fillId="0" borderId="5" xfId="0" applyNumberFormat="1" applyFont="1" applyBorder="1"/>
    <xf numFmtId="171" fontId="7" fillId="0" borderId="5" xfId="0" applyNumberFormat="1" applyFont="1" applyBorder="1"/>
    <xf numFmtId="172" fontId="17" fillId="0" borderId="21" xfId="0" applyNumberFormat="1" applyFont="1" applyBorder="1" applyAlignment="1">
      <alignment horizontal="center"/>
    </xf>
    <xf numFmtId="43" fontId="19" fillId="0" borderId="5" xfId="0" applyNumberFormat="1" applyFont="1" applyBorder="1"/>
    <xf numFmtId="167" fontId="19" fillId="0" borderId="123" xfId="0" applyNumberFormat="1" applyFont="1" applyBorder="1"/>
    <xf numFmtId="167" fontId="17" fillId="0" borderId="21" xfId="0" applyNumberFormat="1" applyFont="1" applyBorder="1" applyAlignment="1">
      <alignment horizontal="center"/>
    </xf>
    <xf numFmtId="0" fontId="19" fillId="0" borderId="124" xfId="0" applyFont="1" applyBorder="1"/>
    <xf numFmtId="0" fontId="19" fillId="0" borderId="125" xfId="0" applyFont="1" applyBorder="1"/>
    <xf numFmtId="0" fontId="47" fillId="0" borderId="89" xfId="0" applyFont="1" applyBorder="1" applyAlignment="1">
      <alignment horizontal="center"/>
    </xf>
    <xf numFmtId="175" fontId="17" fillId="0" borderId="117" xfId="0" applyNumberFormat="1" applyFont="1" applyBorder="1" applyAlignment="1">
      <alignment horizontal="right"/>
    </xf>
    <xf numFmtId="167" fontId="50" fillId="0" borderId="91" xfId="0" applyNumberFormat="1" applyFont="1" applyBorder="1"/>
    <xf numFmtId="172" fontId="17" fillId="0" borderId="4" xfId="0" applyNumberFormat="1" applyFont="1" applyBorder="1" applyAlignment="1">
      <alignment horizontal="center"/>
    </xf>
    <xf numFmtId="167" fontId="17" fillId="0" borderId="4" xfId="0" applyNumberFormat="1" applyFont="1" applyBorder="1" applyAlignment="1">
      <alignment horizontal="center"/>
    </xf>
    <xf numFmtId="175" fontId="17" fillId="0" borderId="81" xfId="0" applyNumberFormat="1" applyFont="1" applyBorder="1" applyAlignment="1">
      <alignment horizontal="right"/>
    </xf>
    <xf numFmtId="0" fontId="48" fillId="0" borderId="126" xfId="0" applyFont="1" applyBorder="1"/>
    <xf numFmtId="165" fontId="7" fillId="0" borderId="78" xfId="0" applyNumberFormat="1" applyFont="1" applyBorder="1"/>
    <xf numFmtId="173" fontId="7" fillId="0" borderId="78" xfId="0" applyNumberFormat="1" applyFont="1" applyBorder="1"/>
    <xf numFmtId="0" fontId="7" fillId="0" borderId="0" xfId="0" applyFont="1" applyAlignment="1">
      <alignment horizontal="center"/>
    </xf>
    <xf numFmtId="173" fontId="7" fillId="0" borderId="4" xfId="0" applyNumberFormat="1" applyFont="1" applyBorder="1"/>
    <xf numFmtId="0" fontId="17" fillId="0" borderId="67" xfId="0" applyFont="1" applyBorder="1"/>
    <xf numFmtId="167" fontId="23" fillId="0" borderId="67" xfId="0" applyNumberFormat="1" applyFont="1" applyBorder="1" applyAlignment="1">
      <alignment horizontal="center"/>
    </xf>
    <xf numFmtId="167" fontId="54" fillId="0" borderId="67" xfId="0" applyNumberFormat="1" applyFont="1" applyBorder="1" applyAlignment="1">
      <alignment horizontal="center"/>
    </xf>
    <xf numFmtId="167" fontId="23" fillId="0" borderId="83" xfId="0" applyNumberFormat="1" applyFont="1" applyBorder="1"/>
    <xf numFmtId="168" fontId="19" fillId="0" borderId="50" xfId="0" applyNumberFormat="1" applyFont="1" applyBorder="1"/>
    <xf numFmtId="0" fontId="47" fillId="0" borderId="127" xfId="0" applyFont="1" applyBorder="1" applyAlignment="1">
      <alignment horizontal="center"/>
    </xf>
    <xf numFmtId="167" fontId="50" fillId="0" borderId="98" xfId="0" applyNumberFormat="1" applyFont="1" applyBorder="1"/>
    <xf numFmtId="0" fontId="19" fillId="0" borderId="128" xfId="0" applyFont="1" applyBorder="1"/>
    <xf numFmtId="0" fontId="47" fillId="0" borderId="129" xfId="0" applyFont="1" applyBorder="1" applyAlignment="1">
      <alignment horizontal="center"/>
    </xf>
    <xf numFmtId="0" fontId="47" fillId="0" borderId="130" xfId="0" applyFont="1" applyBorder="1" applyAlignment="1">
      <alignment horizontal="center"/>
    </xf>
    <xf numFmtId="0" fontId="47" fillId="0" borderId="103" xfId="0" applyFont="1" applyBorder="1"/>
    <xf numFmtId="0" fontId="47" fillId="0" borderId="104" xfId="0" applyFont="1" applyBorder="1" applyAlignment="1">
      <alignment horizontal="center"/>
    </xf>
    <xf numFmtId="0" fontId="47" fillId="0" borderId="105" xfId="0" applyFont="1" applyBorder="1" applyAlignment="1">
      <alignment horizontal="center"/>
    </xf>
    <xf numFmtId="43" fontId="48" fillId="0" borderId="21" xfId="0" applyNumberFormat="1" applyFont="1" applyBorder="1" applyAlignment="1">
      <alignment horizontal="center"/>
    </xf>
    <xf numFmtId="0" fontId="19" fillId="0" borderId="117" xfId="0" applyFont="1" applyBorder="1"/>
    <xf numFmtId="43" fontId="48" fillId="0" borderId="4" xfId="0" applyNumberFormat="1" applyFont="1" applyBorder="1" applyAlignment="1">
      <alignment horizontal="center"/>
    </xf>
    <xf numFmtId="0" fontId="19" fillId="0" borderId="81" xfId="0" applyFont="1" applyBorder="1"/>
    <xf numFmtId="0" fontId="2" fillId="5" borderId="1" xfId="0" applyFont="1" applyFill="1" applyBorder="1"/>
    <xf numFmtId="0" fontId="51" fillId="0" borderId="74" xfId="0" applyFont="1" applyBorder="1"/>
    <xf numFmtId="0" fontId="59" fillId="0" borderId="75" xfId="0" applyFont="1" applyBorder="1" applyAlignment="1">
      <alignment horizontal="center"/>
    </xf>
    <xf numFmtId="0" fontId="2" fillId="0" borderId="75" xfId="0" applyFont="1" applyBorder="1"/>
    <xf numFmtId="0" fontId="2" fillId="0" borderId="76" xfId="0" applyFont="1" applyBorder="1"/>
    <xf numFmtId="0" fontId="2" fillId="0" borderId="131" xfId="0" applyFont="1" applyBorder="1"/>
    <xf numFmtId="0" fontId="19" fillId="0" borderId="123" xfId="0" applyFont="1" applyBorder="1"/>
    <xf numFmtId="0" fontId="59" fillId="0" borderId="84" xfId="0" applyFont="1" applyBorder="1" applyAlignment="1">
      <alignment horizontal="center"/>
    </xf>
    <xf numFmtId="0" fontId="2" fillId="0" borderId="84" xfId="0" applyFont="1" applyBorder="1"/>
    <xf numFmtId="0" fontId="47" fillId="0" borderId="94" xfId="0" applyFont="1" applyBorder="1" applyAlignment="1">
      <alignment horizontal="center"/>
    </xf>
    <xf numFmtId="0" fontId="50" fillId="0" borderId="132" xfId="0" applyFont="1" applyBorder="1"/>
    <xf numFmtId="0" fontId="59" fillId="0" borderId="77" xfId="0" applyFont="1" applyBorder="1"/>
    <xf numFmtId="0" fontId="8" fillId="14" borderId="109" xfId="0" applyFont="1" applyFill="1" applyBorder="1"/>
    <xf numFmtId="0" fontId="19" fillId="14" borderId="110" xfId="0" applyFont="1" applyFill="1" applyBorder="1"/>
    <xf numFmtId="0" fontId="59" fillId="0" borderId="78" xfId="0" applyFont="1" applyBorder="1" applyAlignment="1">
      <alignment horizontal="center"/>
    </xf>
    <xf numFmtId="0" fontId="19" fillId="0" borderId="133" xfId="0" applyFont="1" applyBorder="1"/>
    <xf numFmtId="0" fontId="19" fillId="0" borderId="134" xfId="0" applyFont="1" applyBorder="1"/>
    <xf numFmtId="0" fontId="23" fillId="0" borderId="75" xfId="0" applyFont="1" applyBorder="1" applyAlignment="1">
      <alignment horizontal="center"/>
    </xf>
    <xf numFmtId="0" fontId="47" fillId="0" borderId="79" xfId="0" applyFont="1" applyBorder="1" applyAlignment="1">
      <alignment horizontal="center"/>
    </xf>
    <xf numFmtId="0" fontId="59" fillId="0" borderId="0" xfId="0" applyFont="1" applyAlignment="1">
      <alignment horizontal="center"/>
    </xf>
    <xf numFmtId="0" fontId="23" fillId="0" borderId="76" xfId="0" applyFont="1" applyBorder="1" applyAlignment="1">
      <alignment horizontal="center"/>
    </xf>
    <xf numFmtId="0" fontId="19" fillId="0" borderId="135" xfId="0" applyFont="1" applyBorder="1"/>
    <xf numFmtId="0" fontId="47" fillId="0" borderId="32" xfId="0" applyFont="1" applyBorder="1" applyAlignment="1">
      <alignment horizontal="center"/>
    </xf>
    <xf numFmtId="0" fontId="60" fillId="0" borderId="62" xfId="0" applyFont="1" applyBorder="1"/>
    <xf numFmtId="168" fontId="2" fillId="0" borderId="4" xfId="0" applyNumberFormat="1" applyFont="1" applyBorder="1"/>
    <xf numFmtId="0" fontId="47" fillId="0" borderId="135" xfId="0" applyFont="1" applyBorder="1"/>
    <xf numFmtId="9" fontId="2" fillId="0" borderId="4" xfId="0" applyNumberFormat="1" applyFont="1" applyBorder="1" applyAlignment="1">
      <alignment horizontal="center"/>
    </xf>
    <xf numFmtId="0" fontId="47" fillId="0" borderId="78" xfId="0" applyFont="1" applyBorder="1" applyAlignment="1">
      <alignment horizontal="center"/>
    </xf>
    <xf numFmtId="0" fontId="48" fillId="0" borderId="135" xfId="0" applyFont="1" applyBorder="1"/>
    <xf numFmtId="168" fontId="2" fillId="0" borderId="4" xfId="0" applyNumberFormat="1" applyFont="1" applyBorder="1" applyAlignment="1">
      <alignment horizontal="center"/>
    </xf>
    <xf numFmtId="179" fontId="7" fillId="0" borderId="4" xfId="0" applyNumberFormat="1" applyFont="1" applyBorder="1"/>
    <xf numFmtId="2" fontId="2" fillId="0" borderId="4" xfId="0" applyNumberFormat="1" applyFont="1" applyBorder="1" applyAlignment="1">
      <alignment horizontal="center"/>
    </xf>
    <xf numFmtId="0" fontId="48" fillId="0" borderId="32" xfId="0" applyFont="1" applyBorder="1" applyAlignment="1">
      <alignment horizontal="center"/>
    </xf>
    <xf numFmtId="171" fontId="2" fillId="0" borderId="4" xfId="0" applyNumberFormat="1" applyFont="1" applyBorder="1" applyAlignment="1">
      <alignment horizontal="center"/>
    </xf>
    <xf numFmtId="167" fontId="19" fillId="0" borderId="63" xfId="0" applyNumberFormat="1" applyFont="1" applyBorder="1"/>
    <xf numFmtId="175" fontId="17" fillId="0" borderId="81" xfId="0" applyNumberFormat="1" applyFont="1" applyBorder="1"/>
    <xf numFmtId="0" fontId="2" fillId="0" borderId="0" xfId="0" applyFont="1" applyAlignment="1">
      <alignment horizontal="center"/>
    </xf>
    <xf numFmtId="1" fontId="2" fillId="0" borderId="0" xfId="0" applyNumberFormat="1" applyFont="1" applyAlignment="1">
      <alignment horizontal="center"/>
    </xf>
    <xf numFmtId="0" fontId="7" fillId="0" borderId="4" xfId="0" applyFont="1" applyBorder="1"/>
    <xf numFmtId="167" fontId="19" fillId="0" borderId="136" xfId="0" applyNumberFormat="1" applyFont="1" applyBorder="1"/>
    <xf numFmtId="175" fontId="19" fillId="0" borderId="81" xfId="0" applyNumberFormat="1" applyFont="1" applyBorder="1"/>
    <xf numFmtId="167" fontId="50" fillId="0" borderId="132" xfId="0" applyNumberFormat="1" applyFont="1" applyBorder="1"/>
    <xf numFmtId="0" fontId="60" fillId="0" borderId="62" xfId="0" applyFont="1" applyBorder="1" applyAlignment="1">
      <alignment wrapText="1"/>
    </xf>
    <xf numFmtId="2" fontId="19" fillId="0" borderId="4" xfId="0" applyNumberFormat="1" applyFont="1" applyBorder="1" applyAlignment="1">
      <alignment horizontal="center"/>
    </xf>
    <xf numFmtId="0" fontId="61" fillId="13" borderId="4" xfId="0" applyFont="1" applyFill="1" applyBorder="1"/>
    <xf numFmtId="0" fontId="61" fillId="13" borderId="4" xfId="0" applyFont="1" applyFill="1" applyBorder="1" applyAlignment="1">
      <alignment horizontal="center"/>
    </xf>
    <xf numFmtId="168" fontId="61" fillId="13" borderId="4" xfId="0" applyNumberFormat="1" applyFont="1" applyFill="1" applyBorder="1" applyAlignment="1">
      <alignment horizontal="center"/>
    </xf>
    <xf numFmtId="43" fontId="19" fillId="0" borderId="137" xfId="0" applyNumberFormat="1" applyFont="1" applyBorder="1"/>
    <xf numFmtId="43" fontId="19" fillId="0" borderId="138" xfId="0" applyNumberFormat="1" applyFont="1" applyBorder="1"/>
    <xf numFmtId="168" fontId="14" fillId="0" borderId="120" xfId="0" applyNumberFormat="1" applyFont="1" applyBorder="1"/>
    <xf numFmtId="2" fontId="2" fillId="0" borderId="4" xfId="0" applyNumberFormat="1" applyFont="1" applyBorder="1"/>
    <xf numFmtId="171" fontId="2" fillId="0" borderId="5" xfId="0" applyNumberFormat="1" applyFont="1" applyBorder="1" applyAlignment="1">
      <alignment horizontal="center"/>
    </xf>
    <xf numFmtId="0" fontId="61" fillId="13" borderId="139" xfId="0" applyFont="1" applyFill="1" applyBorder="1"/>
    <xf numFmtId="175" fontId="19" fillId="0" borderId="73" xfId="0" applyNumberFormat="1" applyFont="1" applyBorder="1"/>
    <xf numFmtId="0" fontId="61" fillId="13" borderId="1" xfId="0" applyFont="1" applyFill="1" applyBorder="1"/>
    <xf numFmtId="0" fontId="3" fillId="13" borderId="1" xfId="0" applyFont="1" applyFill="1" applyBorder="1"/>
    <xf numFmtId="0" fontId="2" fillId="0" borderId="62" xfId="0" applyFont="1" applyBorder="1"/>
    <xf numFmtId="0" fontId="2" fillId="0" borderId="4" xfId="0" applyFont="1" applyBorder="1"/>
    <xf numFmtId="0" fontId="57" fillId="0" borderId="45" xfId="0" applyFont="1" applyBorder="1"/>
    <xf numFmtId="43" fontId="19" fillId="0" borderId="125" xfId="0" applyNumberFormat="1" applyFont="1" applyBorder="1"/>
    <xf numFmtId="175" fontId="57" fillId="0" borderId="140" xfId="0" applyNumberFormat="1" applyFont="1" applyBorder="1"/>
    <xf numFmtId="0" fontId="14" fillId="0" borderId="124" xfId="0" applyFont="1" applyBorder="1"/>
    <xf numFmtId="0" fontId="14" fillId="0" borderId="125" xfId="0" applyFont="1" applyBorder="1" applyAlignment="1">
      <alignment horizontal="center"/>
    </xf>
    <xf numFmtId="0" fontId="14" fillId="0" borderId="6" xfId="0" applyFont="1" applyBorder="1"/>
    <xf numFmtId="0" fontId="19" fillId="0" borderId="141" xfId="0" applyFont="1" applyBorder="1"/>
    <xf numFmtId="181" fontId="18" fillId="0" borderId="9" xfId="0" applyNumberFormat="1" applyFont="1" applyBorder="1" applyAlignment="1">
      <alignment horizontal="center" wrapText="1"/>
    </xf>
    <xf numFmtId="0" fontId="19" fillId="0" borderId="142" xfId="0" applyFont="1" applyBorder="1"/>
    <xf numFmtId="181" fontId="18" fillId="0" borderId="129" xfId="0" applyNumberFormat="1" applyFont="1" applyBorder="1" applyAlignment="1">
      <alignment horizontal="center"/>
    </xf>
    <xf numFmtId="181" fontId="18" fillId="0" borderId="89" xfId="0" applyNumberFormat="1" applyFont="1" applyBorder="1" applyAlignment="1">
      <alignment horizontal="center" wrapText="1"/>
    </xf>
    <xf numFmtId="181" fontId="18" fillId="0" borderId="0" xfId="0" applyNumberFormat="1" applyFont="1"/>
    <xf numFmtId="0" fontId="62" fillId="0" borderId="0" xfId="0" applyFont="1"/>
    <xf numFmtId="0" fontId="8" fillId="0" borderId="74" xfId="0" applyFont="1" applyBorder="1"/>
    <xf numFmtId="0" fontId="44" fillId="0" borderId="0" xfId="0" applyFont="1" applyAlignment="1">
      <alignment horizontal="center"/>
    </xf>
    <xf numFmtId="0" fontId="14" fillId="0" borderId="129" xfId="0" applyFont="1" applyBorder="1"/>
    <xf numFmtId="168" fontId="62" fillId="0" borderId="0" xfId="0" applyNumberFormat="1" applyFont="1"/>
    <xf numFmtId="0" fontId="14" fillId="0" borderId="53" xfId="0" applyFont="1" applyBorder="1" applyAlignment="1">
      <alignment horizontal="center"/>
    </xf>
    <xf numFmtId="168" fontId="44" fillId="0" borderId="0" xfId="0" applyNumberFormat="1" applyFont="1" applyAlignment="1">
      <alignment horizontal="center"/>
    </xf>
    <xf numFmtId="170" fontId="62" fillId="0" borderId="0" xfId="0" applyNumberFormat="1" applyFont="1"/>
    <xf numFmtId="0" fontId="19" fillId="0" borderId="131" xfId="0" applyFont="1" applyBorder="1"/>
    <xf numFmtId="0" fontId="51" fillId="12" borderId="1" xfId="0" applyFont="1" applyFill="1" applyBorder="1"/>
    <xf numFmtId="0" fontId="44" fillId="12" borderId="1" xfId="0" applyFont="1" applyFill="1" applyBorder="1"/>
    <xf numFmtId="168" fontId="14" fillId="0" borderId="129" xfId="0" applyNumberFormat="1" applyFont="1" applyBorder="1"/>
    <xf numFmtId="0" fontId="44" fillId="12" borderId="1" xfId="0" applyFont="1" applyFill="1" applyBorder="1" applyAlignment="1">
      <alignment horizontal="center"/>
    </xf>
    <xf numFmtId="0" fontId="47" fillId="0" borderId="77" xfId="0" applyFont="1" applyBorder="1"/>
    <xf numFmtId="0" fontId="44" fillId="0" borderId="12" xfId="0" applyFont="1" applyBorder="1"/>
    <xf numFmtId="0" fontId="62" fillId="0" borderId="14" xfId="0" applyFont="1" applyBorder="1" applyAlignment="1">
      <alignment horizontal="center"/>
    </xf>
    <xf numFmtId="182" fontId="14" fillId="0" borderId="120" xfId="0" applyNumberFormat="1" applyFont="1" applyBorder="1"/>
    <xf numFmtId="0" fontId="62" fillId="0" borderId="13" xfId="0" applyFont="1" applyBorder="1" applyAlignment="1">
      <alignment horizontal="center"/>
    </xf>
    <xf numFmtId="0" fontId="44" fillId="0" borderId="27" xfId="0" applyFont="1" applyBorder="1"/>
    <xf numFmtId="0" fontId="44" fillId="0" borderId="0" xfId="0" applyFont="1" applyAlignment="1">
      <alignment horizontal="center" wrapText="1"/>
    </xf>
    <xf numFmtId="0" fontId="44" fillId="0" borderId="31" xfId="0" applyFont="1" applyBorder="1"/>
    <xf numFmtId="10" fontId="14" fillId="0" borderId="129" xfId="0" applyNumberFormat="1" applyFont="1" applyBorder="1"/>
    <xf numFmtId="0" fontId="44" fillId="0" borderId="62" xfId="0" applyFont="1" applyBorder="1" applyAlignment="1">
      <alignment vertical="top" wrapText="1"/>
    </xf>
    <xf numFmtId="165" fontId="45" fillId="0" borderId="4" xfId="0" applyNumberFormat="1" applyFont="1" applyBorder="1" applyAlignment="1">
      <alignment horizontal="center"/>
    </xf>
    <xf numFmtId="168" fontId="44" fillId="0" borderId="4" xfId="0" applyNumberFormat="1" applyFont="1" applyBorder="1"/>
    <xf numFmtId="2" fontId="44" fillId="0" borderId="4" xfId="0" applyNumberFormat="1" applyFont="1" applyBorder="1"/>
    <xf numFmtId="0" fontId="14" fillId="0" borderId="120" xfId="0" applyFont="1" applyBorder="1"/>
    <xf numFmtId="0" fontId="14" fillId="0" borderId="59" xfId="0" applyFont="1" applyBorder="1" applyAlignment="1">
      <alignment horizontal="center"/>
    </xf>
    <xf numFmtId="173" fontId="2" fillId="0" borderId="4" xfId="0" applyNumberFormat="1" applyFont="1" applyBorder="1"/>
    <xf numFmtId="10" fontId="14" fillId="0" borderId="120" xfId="0" applyNumberFormat="1" applyFont="1" applyBorder="1"/>
    <xf numFmtId="170" fontId="44" fillId="0" borderId="81" xfId="0" applyNumberFormat="1" applyFont="1" applyBorder="1"/>
    <xf numFmtId="0" fontId="62" fillId="0" borderId="62" xfId="0" applyFont="1" applyBorder="1"/>
    <xf numFmtId="0" fontId="44" fillId="0" borderId="2" xfId="0" applyFont="1" applyBorder="1"/>
    <xf numFmtId="0" fontId="44" fillId="0" borderId="3" xfId="0" applyFont="1" applyBorder="1"/>
    <xf numFmtId="168" fontId="62" fillId="0" borderId="4" xfId="0" applyNumberFormat="1" applyFont="1" applyBorder="1"/>
    <xf numFmtId="170" fontId="62" fillId="0" borderId="81" xfId="0" applyNumberFormat="1" applyFont="1" applyBorder="1"/>
    <xf numFmtId="0" fontId="14" fillId="0" borderId="143" xfId="0" applyFont="1" applyBorder="1" applyAlignment="1">
      <alignment horizontal="center"/>
    </xf>
    <xf numFmtId="0" fontId="19" fillId="0" borderId="0" xfId="0" applyFont="1" applyAlignment="1">
      <alignment wrapText="1"/>
    </xf>
    <xf numFmtId="168" fontId="14" fillId="0" borderId="143" xfId="0" applyNumberFormat="1" applyFont="1" applyBorder="1"/>
    <xf numFmtId="0" fontId="51" fillId="9" borderId="1" xfId="0" applyFont="1" applyFill="1" applyBorder="1"/>
    <xf numFmtId="0" fontId="44" fillId="9" borderId="1" xfId="0" applyFont="1" applyFill="1" applyBorder="1"/>
    <xf numFmtId="182" fontId="14" fillId="0" borderId="143" xfId="0" applyNumberFormat="1" applyFont="1" applyBorder="1"/>
    <xf numFmtId="10" fontId="14" fillId="0" borderId="143" xfId="0" applyNumberFormat="1" applyFont="1" applyBorder="1"/>
    <xf numFmtId="0" fontId="48" fillId="0" borderId="12" xfId="0" applyFont="1" applyBorder="1"/>
    <xf numFmtId="0" fontId="14" fillId="0" borderId="104" xfId="0" applyFont="1" applyBorder="1"/>
    <xf numFmtId="0" fontId="14" fillId="0" borderId="104" xfId="0" applyFont="1" applyBorder="1" applyAlignment="1">
      <alignment horizontal="center"/>
    </xf>
    <xf numFmtId="0" fontId="47" fillId="0" borderId="27" xfId="0" applyFont="1" applyBorder="1" applyAlignment="1">
      <alignment horizontal="left"/>
    </xf>
    <xf numFmtId="0" fontId="48" fillId="0" borderId="0" xfId="0" applyFont="1"/>
    <xf numFmtId="0" fontId="48" fillId="0" borderId="0" xfId="0" applyFont="1" applyAlignment="1">
      <alignment horizontal="center" wrapText="1"/>
    </xf>
    <xf numFmtId="168" fontId="14" fillId="0" borderId="104" xfId="0" applyNumberFormat="1" applyFont="1" applyBorder="1"/>
    <xf numFmtId="0" fontId="63" fillId="0" borderId="0" xfId="0" applyFont="1"/>
    <xf numFmtId="0" fontId="63" fillId="0" borderId="31" xfId="0" applyFont="1" applyBorder="1"/>
    <xf numFmtId="182" fontId="14" fillId="0" borderId="104" xfId="0" applyNumberFormat="1" applyFont="1" applyBorder="1"/>
    <xf numFmtId="0" fontId="3" fillId="0" borderId="104" xfId="0" applyFont="1" applyBorder="1"/>
    <xf numFmtId="0" fontId="64" fillId="0" borderId="0" xfId="0" applyFont="1"/>
    <xf numFmtId="0" fontId="64" fillId="0" borderId="31" xfId="0" applyFont="1" applyBorder="1"/>
    <xf numFmtId="0" fontId="48" fillId="0" borderId="62" xfId="0" applyFont="1" applyBorder="1" applyAlignment="1">
      <alignment horizontal="left" vertical="top" wrapText="1"/>
    </xf>
    <xf numFmtId="168" fontId="60" fillId="0" borderId="4" xfId="0" applyNumberFormat="1" applyFont="1" applyBorder="1"/>
    <xf numFmtId="2" fontId="48" fillId="0" borderId="4" xfId="0" applyNumberFormat="1" applyFont="1" applyBorder="1"/>
    <xf numFmtId="0" fontId="3" fillId="0" borderId="120" xfId="0" applyFont="1" applyBorder="1"/>
    <xf numFmtId="43" fontId="60" fillId="0" borderId="4" xfId="0" applyNumberFormat="1" applyFont="1" applyBorder="1"/>
    <xf numFmtId="173" fontId="60" fillId="0" borderId="81" xfId="0" applyNumberFormat="1" applyFont="1" applyBorder="1"/>
    <xf numFmtId="173" fontId="60" fillId="0" borderId="27" xfId="0" applyNumberFormat="1" applyFont="1" applyBorder="1"/>
    <xf numFmtId="10" fontId="3" fillId="0" borderId="120" xfId="0" applyNumberFormat="1" applyFont="1" applyBorder="1"/>
    <xf numFmtId="168" fontId="60" fillId="0" borderId="0" xfId="0" applyNumberFormat="1" applyFont="1"/>
    <xf numFmtId="2" fontId="48" fillId="0" borderId="0" xfId="0" applyNumberFormat="1" applyFont="1"/>
    <xf numFmtId="173" fontId="60" fillId="0" borderId="31" xfId="0" applyNumberFormat="1" applyFont="1" applyBorder="1"/>
    <xf numFmtId="0" fontId="47" fillId="0" borderId="49" xfId="0" applyFont="1" applyBorder="1"/>
    <xf numFmtId="0" fontId="48" fillId="0" borderId="50" xfId="0" applyFont="1" applyBorder="1"/>
    <xf numFmtId="168" fontId="59" fillId="0" borderId="67" xfId="0" applyNumberFormat="1" applyFont="1" applyBorder="1"/>
    <xf numFmtId="173" fontId="59" fillId="0" borderId="83" xfId="0" applyNumberFormat="1" applyFont="1" applyBorder="1"/>
    <xf numFmtId="173" fontId="59" fillId="0" borderId="27" xfId="0" applyNumberFormat="1" applyFont="1" applyBorder="1"/>
    <xf numFmtId="182" fontId="14" fillId="0" borderId="129" xfId="0" applyNumberFormat="1" applyFont="1" applyBorder="1"/>
    <xf numFmtId="0" fontId="51" fillId="6" borderId="1" xfId="0" applyFont="1" applyFill="1" applyBorder="1"/>
    <xf numFmtId="0" fontId="44" fillId="6" borderId="1" xfId="0" applyFont="1" applyFill="1" applyBorder="1" applyAlignment="1">
      <alignment horizontal="center"/>
    </xf>
    <xf numFmtId="0" fontId="44" fillId="6" borderId="1" xfId="0" applyFont="1" applyFill="1" applyBorder="1"/>
    <xf numFmtId="0" fontId="62" fillId="0" borderId="4" xfId="0" applyFont="1" applyBorder="1" applyAlignment="1">
      <alignment horizontal="center"/>
    </xf>
    <xf numFmtId="0" fontId="62" fillId="0" borderId="101" xfId="0" applyFont="1" applyBorder="1" applyAlignment="1">
      <alignment horizontal="center"/>
    </xf>
    <xf numFmtId="168" fontId="40" fillId="0" borderId="120" xfId="0" applyNumberFormat="1" applyFont="1" applyBorder="1"/>
    <xf numFmtId="0" fontId="65" fillId="0" borderId="0" xfId="0" applyFont="1"/>
    <xf numFmtId="175" fontId="50" fillId="0" borderId="81" xfId="0" applyNumberFormat="1" applyFont="1" applyBorder="1"/>
    <xf numFmtId="0" fontId="44" fillId="0" borderId="0" xfId="0" applyFont="1" applyAlignment="1">
      <alignment horizontal="left" vertical="top" wrapText="1"/>
    </xf>
    <xf numFmtId="0" fontId="7" fillId="0" borderId="0" xfId="0" applyFont="1"/>
    <xf numFmtId="168" fontId="44" fillId="0" borderId="0" xfId="0" applyNumberFormat="1" applyFont="1"/>
    <xf numFmtId="168" fontId="44" fillId="0" borderId="31" xfId="0" applyNumberFormat="1" applyFont="1" applyBorder="1"/>
    <xf numFmtId="0" fontId="66" fillId="0" borderId="0" xfId="0" applyFont="1"/>
    <xf numFmtId="0" fontId="49" fillId="0" borderId="0" xfId="0" applyFont="1" applyAlignment="1">
      <alignment horizontal="left"/>
    </xf>
    <xf numFmtId="0" fontId="49" fillId="0" borderId="0" xfId="0" applyFont="1" applyAlignment="1">
      <alignment horizontal="center" wrapText="1"/>
    </xf>
    <xf numFmtId="167" fontId="44" fillId="0" borderId="78" xfId="0" applyNumberFormat="1" applyFont="1" applyBorder="1"/>
    <xf numFmtId="0" fontId="67" fillId="0" borderId="0" xfId="0" applyFont="1" applyAlignment="1">
      <alignment horizontal="center" wrapText="1"/>
    </xf>
    <xf numFmtId="0" fontId="49" fillId="0" borderId="0" xfId="0" applyFont="1"/>
    <xf numFmtId="0" fontId="51" fillId="0" borderId="12" xfId="0" applyFont="1" applyBorder="1"/>
    <xf numFmtId="0" fontId="59" fillId="0" borderId="4" xfId="0" applyFont="1" applyBorder="1" applyAlignment="1">
      <alignment horizontal="center"/>
    </xf>
    <xf numFmtId="0" fontId="67" fillId="0" borderId="0" xfId="0" applyFont="1" applyAlignment="1">
      <alignment horizontal="left"/>
    </xf>
    <xf numFmtId="0" fontId="67" fillId="0" borderId="0" xfId="0" applyFont="1"/>
    <xf numFmtId="0" fontId="68" fillId="0" borderId="0" xfId="0" applyFont="1" applyAlignment="1">
      <alignment horizontal="center"/>
    </xf>
    <xf numFmtId="0" fontId="2" fillId="0" borderId="13" xfId="0" applyFont="1" applyBorder="1"/>
    <xf numFmtId="0" fontId="4" fillId="0" borderId="0" xfId="0" applyFont="1" applyAlignment="1">
      <alignment horizontal="center"/>
    </xf>
    <xf numFmtId="0" fontId="68" fillId="0" borderId="111" xfId="0" applyFont="1" applyBorder="1"/>
    <xf numFmtId="0" fontId="2" fillId="0" borderId="27" xfId="0" applyFont="1" applyBorder="1"/>
    <xf numFmtId="0" fontId="69" fillId="0" borderId="0" xfId="0" applyFont="1" applyAlignment="1">
      <alignment horizontal="left"/>
    </xf>
    <xf numFmtId="166" fontId="44" fillId="0" borderId="4" xfId="0" applyNumberFormat="1" applyFont="1" applyBorder="1"/>
    <xf numFmtId="168" fontId="14" fillId="0" borderId="120" xfId="0" applyNumberFormat="1" applyFont="1" applyBorder="1" applyAlignment="1">
      <alignment horizontal="right"/>
    </xf>
    <xf numFmtId="3" fontId="68" fillId="14" borderId="4" xfId="0" applyNumberFormat="1" applyFont="1" applyFill="1" applyBorder="1" applyAlignment="1">
      <alignment horizontal="center"/>
    </xf>
    <xf numFmtId="0" fontId="47" fillId="0" borderId="4" xfId="0" applyFont="1" applyBorder="1" applyAlignment="1">
      <alignment horizontal="center"/>
    </xf>
    <xf numFmtId="4" fontId="4" fillId="0" borderId="0" xfId="0" applyNumberFormat="1" applyFont="1" applyAlignment="1">
      <alignment horizontal="center"/>
    </xf>
    <xf numFmtId="0" fontId="59" fillId="0" borderId="34" xfId="0" applyFont="1" applyBorder="1"/>
    <xf numFmtId="4" fontId="68" fillId="0" borderId="4" xfId="0" applyNumberFormat="1" applyFont="1" applyBorder="1"/>
    <xf numFmtId="0" fontId="62" fillId="0" borderId="27" xfId="0" applyFont="1" applyBorder="1"/>
    <xf numFmtId="0" fontId="47" fillId="0" borderId="35" xfId="0" applyFont="1" applyBorder="1" applyAlignment="1">
      <alignment horizontal="center"/>
    </xf>
    <xf numFmtId="168" fontId="68" fillId="0" borderId="4" xfId="0" applyNumberFormat="1" applyFont="1" applyBorder="1"/>
    <xf numFmtId="0" fontId="14" fillId="0" borderId="143" xfId="0" applyFont="1" applyBorder="1"/>
    <xf numFmtId="0" fontId="14" fillId="0" borderId="145" xfId="0" applyFont="1" applyBorder="1" applyAlignment="1">
      <alignment horizontal="center"/>
    </xf>
    <xf numFmtId="0" fontId="45" fillId="0" borderId="146" xfId="0" applyFont="1" applyBorder="1"/>
    <xf numFmtId="168" fontId="2" fillId="0" borderId="78" xfId="0" applyNumberFormat="1" applyFont="1" applyBorder="1"/>
    <xf numFmtId="168" fontId="62" fillId="0" borderId="0" xfId="0" applyNumberFormat="1" applyFont="1" applyAlignment="1">
      <alignment horizontal="center"/>
    </xf>
    <xf numFmtId="168" fontId="2" fillId="2" borderId="147" xfId="0" applyNumberFormat="1" applyFont="1" applyFill="1" applyBorder="1" applyAlignment="1">
      <alignment horizontal="center"/>
    </xf>
    <xf numFmtId="3" fontId="68" fillId="0" borderId="0" xfId="0" applyNumberFormat="1" applyFont="1" applyAlignment="1">
      <alignment horizontal="center"/>
    </xf>
    <xf numFmtId="165" fontId="45" fillId="0" borderId="78" xfId="0" applyNumberFormat="1" applyFont="1" applyBorder="1" applyAlignment="1">
      <alignment horizontal="center"/>
    </xf>
    <xf numFmtId="168" fontId="68" fillId="0" borderId="0" xfId="0" applyNumberFormat="1" applyFont="1"/>
    <xf numFmtId="167" fontId="68" fillId="0" borderId="0" xfId="0" applyNumberFormat="1" applyFont="1"/>
    <xf numFmtId="172" fontId="68" fillId="0" borderId="0" xfId="0" applyNumberFormat="1" applyFont="1"/>
    <xf numFmtId="0" fontId="68" fillId="0" borderId="0" xfId="0" applyFont="1" applyAlignment="1">
      <alignment horizontal="left"/>
    </xf>
    <xf numFmtId="3" fontId="67" fillId="0" borderId="0" xfId="0" applyNumberFormat="1" applyFont="1" applyAlignment="1">
      <alignment horizontal="center" wrapText="1"/>
    </xf>
    <xf numFmtId="175" fontId="2" fillId="0" borderId="111" xfId="0" applyNumberFormat="1" applyFont="1" applyBorder="1" applyAlignment="1">
      <alignment horizontal="center"/>
    </xf>
    <xf numFmtId="0" fontId="14" fillId="0" borderId="57" xfId="0" applyFont="1" applyBorder="1" applyAlignment="1">
      <alignment horizontal="center"/>
    </xf>
    <xf numFmtId="175" fontId="19" fillId="0" borderId="148" xfId="0" applyNumberFormat="1" applyFont="1" applyBorder="1"/>
    <xf numFmtId="166" fontId="68" fillId="0" borderId="4" xfId="0" applyNumberFormat="1" applyFont="1" applyBorder="1" applyAlignment="1">
      <alignment horizontal="center"/>
    </xf>
    <xf numFmtId="168" fontId="14" fillId="0" borderId="61" xfId="0" applyNumberFormat="1" applyFont="1" applyBorder="1"/>
    <xf numFmtId="0" fontId="45" fillId="0" borderId="135" xfId="0" applyFont="1" applyBorder="1"/>
    <xf numFmtId="0" fontId="23" fillId="0" borderId="129" xfId="0" applyFont="1" applyBorder="1" applyAlignment="1">
      <alignment horizontal="center"/>
    </xf>
    <xf numFmtId="168" fontId="2" fillId="2" borderId="4" xfId="0" applyNumberFormat="1" applyFont="1" applyFill="1" applyBorder="1" applyAlignment="1">
      <alignment horizontal="center"/>
    </xf>
    <xf numFmtId="175" fontId="2" fillId="0" borderId="32" xfId="0" applyNumberFormat="1" applyFont="1" applyBorder="1" applyAlignment="1">
      <alignment horizontal="center"/>
    </xf>
    <xf numFmtId="0" fontId="23" fillId="0" borderId="52" xfId="0" applyFont="1" applyBorder="1" applyAlignment="1">
      <alignment horizontal="center"/>
    </xf>
    <xf numFmtId="37" fontId="68" fillId="14" borderId="4" xfId="0" applyNumberFormat="1" applyFont="1" applyFill="1" applyBorder="1" applyAlignment="1">
      <alignment horizontal="center"/>
    </xf>
    <xf numFmtId="175" fontId="19" fillId="0" borderId="63" xfId="0" applyNumberFormat="1" applyFont="1" applyBorder="1"/>
    <xf numFmtId="168" fontId="68" fillId="0" borderId="4" xfId="0" applyNumberFormat="1" applyFont="1" applyBorder="1" applyAlignment="1">
      <alignment horizontal="right"/>
    </xf>
    <xf numFmtId="0" fontId="23" fillId="0" borderId="129" xfId="0" applyFont="1" applyBorder="1"/>
    <xf numFmtId="168" fontId="4" fillId="0" borderId="0" xfId="0" applyNumberFormat="1" applyFont="1" applyAlignment="1">
      <alignment horizontal="center"/>
    </xf>
    <xf numFmtId="0" fontId="45" fillId="0" borderId="135" xfId="0" applyFont="1" applyBorder="1" applyAlignment="1">
      <alignment wrapText="1"/>
    </xf>
    <xf numFmtId="0" fontId="23" fillId="0" borderId="53" xfId="0" applyFont="1" applyBorder="1"/>
    <xf numFmtId="0" fontId="23" fillId="0" borderId="58" xfId="0" applyFont="1" applyBorder="1" applyAlignment="1">
      <alignment horizontal="left"/>
    </xf>
    <xf numFmtId="0" fontId="19" fillId="0" borderId="120" xfId="0" applyFont="1" applyBorder="1"/>
    <xf numFmtId="166" fontId="4" fillId="0" borderId="0" xfId="0" applyNumberFormat="1" applyFont="1"/>
    <xf numFmtId="0" fontId="23" fillId="0" borderId="120" xfId="0" applyFont="1" applyBorder="1"/>
    <xf numFmtId="168" fontId="3" fillId="0" borderId="120" xfId="0" applyNumberFormat="1" applyFont="1" applyBorder="1"/>
    <xf numFmtId="3" fontId="67" fillId="0" borderId="111" xfId="0" applyNumberFormat="1" applyFont="1" applyBorder="1" applyAlignment="1">
      <alignment horizontal="center" wrapText="1"/>
    </xf>
    <xf numFmtId="0" fontId="19" fillId="0" borderId="104" xfId="0" applyFont="1" applyBorder="1"/>
    <xf numFmtId="168" fontId="3" fillId="0" borderId="0" xfId="0" applyNumberFormat="1" applyFont="1"/>
    <xf numFmtId="43" fontId="3" fillId="0" borderId="0" xfId="0" applyNumberFormat="1" applyFont="1"/>
    <xf numFmtId="166" fontId="67" fillId="0" borderId="111" xfId="0" applyNumberFormat="1" applyFont="1" applyBorder="1" applyAlignment="1">
      <alignment horizontal="center" wrapText="1"/>
    </xf>
    <xf numFmtId="0" fontId="17" fillId="0" borderId="7" xfId="0" applyFont="1" applyBorder="1"/>
    <xf numFmtId="0" fontId="67" fillId="0" borderId="111" xfId="0" applyFont="1" applyBorder="1" applyAlignment="1">
      <alignment horizontal="center" wrapText="1"/>
    </xf>
    <xf numFmtId="43" fontId="17" fillId="0" borderId="89" xfId="0" applyNumberFormat="1" applyFont="1" applyBorder="1"/>
    <xf numFmtId="0" fontId="19" fillId="0" borderId="89" xfId="0" applyFont="1" applyBorder="1"/>
    <xf numFmtId="165" fontId="19" fillId="0" borderId="89" xfId="0" applyNumberFormat="1" applyFont="1" applyBorder="1"/>
    <xf numFmtId="0" fontId="3" fillId="0" borderId="59" xfId="0" applyFont="1" applyBorder="1" applyAlignment="1">
      <alignment horizontal="center"/>
    </xf>
    <xf numFmtId="9" fontId="19" fillId="0" borderId="8" xfId="0" applyNumberFormat="1" applyFont="1" applyBorder="1" applyAlignment="1">
      <alignment horizontal="center"/>
    </xf>
    <xf numFmtId="4" fontId="2" fillId="0" borderId="32" xfId="0" applyNumberFormat="1" applyFont="1" applyBorder="1" applyAlignment="1">
      <alignment horizontal="center"/>
    </xf>
    <xf numFmtId="166" fontId="68" fillId="0" borderId="78" xfId="0" applyNumberFormat="1" applyFont="1" applyBorder="1" applyAlignment="1">
      <alignment horizontal="center"/>
    </xf>
    <xf numFmtId="4" fontId="19" fillId="0" borderId="63" xfId="0" applyNumberFormat="1" applyFont="1" applyBorder="1"/>
    <xf numFmtId="168" fontId="3" fillId="7" borderId="89" xfId="0" applyNumberFormat="1" applyFont="1" applyFill="1" applyBorder="1"/>
    <xf numFmtId="183" fontId="19" fillId="0" borderId="104" xfId="0" applyNumberFormat="1" applyFont="1" applyBorder="1"/>
    <xf numFmtId="184" fontId="19" fillId="0" borderId="6" xfId="0" applyNumberFormat="1" applyFont="1" applyBorder="1"/>
    <xf numFmtId="168" fontId="3" fillId="0" borderId="129" xfId="0" applyNumberFormat="1" applyFont="1" applyBorder="1" applyAlignment="1">
      <alignment horizontal="right"/>
    </xf>
    <xf numFmtId="183" fontId="19" fillId="0" borderId="6" xfId="0" applyNumberFormat="1" applyFont="1" applyBorder="1"/>
    <xf numFmtId="168" fontId="3" fillId="0" borderId="0" xfId="0" applyNumberFormat="1" applyFont="1" applyAlignment="1">
      <alignment horizontal="right"/>
    </xf>
    <xf numFmtId="183" fontId="23" fillId="0" borderId="57" xfId="0" applyNumberFormat="1" applyFont="1" applyBorder="1"/>
    <xf numFmtId="180" fontId="3" fillId="0" borderId="151" xfId="0" applyNumberFormat="1" applyFont="1" applyBorder="1" applyAlignment="1">
      <alignment horizontal="left"/>
    </xf>
    <xf numFmtId="168" fontId="3" fillId="0" borderId="151" xfId="0" applyNumberFormat="1" applyFont="1" applyBorder="1"/>
    <xf numFmtId="0" fontId="62" fillId="0" borderId="152" xfId="0" applyFont="1" applyBorder="1"/>
    <xf numFmtId="0" fontId="19" fillId="0" borderId="153" xfId="0" applyFont="1" applyBorder="1"/>
    <xf numFmtId="0" fontId="62" fillId="0" borderId="124" xfId="0" applyFont="1" applyBorder="1"/>
    <xf numFmtId="0" fontId="62" fillId="0" borderId="35" xfId="0" applyFont="1" applyBorder="1"/>
    <xf numFmtId="168" fontId="3" fillId="9" borderId="157" xfId="0" applyNumberFormat="1" applyFont="1" applyFill="1" applyBorder="1"/>
    <xf numFmtId="175" fontId="50" fillId="0" borderId="31" xfId="0" applyNumberFormat="1" applyFont="1" applyBorder="1"/>
    <xf numFmtId="168" fontId="3" fillId="0" borderId="6" xfId="0" applyNumberFormat="1" applyFont="1" applyBorder="1"/>
    <xf numFmtId="0" fontId="44" fillId="0" borderId="27" xfId="0" applyFont="1" applyBorder="1" applyAlignment="1">
      <alignment horizontal="left"/>
    </xf>
    <xf numFmtId="175" fontId="19" fillId="0" borderId="31" xfId="0" applyNumberFormat="1" applyFont="1" applyBorder="1"/>
    <xf numFmtId="0" fontId="3" fillId="0" borderId="0" xfId="0" applyFont="1" applyAlignment="1">
      <alignment horizontal="left"/>
    </xf>
    <xf numFmtId="3" fontId="3" fillId="0" borderId="0" xfId="0" applyNumberFormat="1" applyFont="1" applyAlignment="1">
      <alignment horizontal="center"/>
    </xf>
    <xf numFmtId="168" fontId="68" fillId="0" borderId="78" xfId="0" applyNumberFormat="1" applyFont="1" applyBorder="1"/>
    <xf numFmtId="0" fontId="44" fillId="0" borderId="135" xfId="0" applyFont="1" applyBorder="1"/>
    <xf numFmtId="0" fontId="67" fillId="0" borderId="0" xfId="0" applyFont="1" applyAlignment="1">
      <alignment vertical="center"/>
    </xf>
    <xf numFmtId="0" fontId="70" fillId="8" borderId="1" xfId="0" applyFont="1" applyFill="1" applyBorder="1"/>
    <xf numFmtId="0" fontId="2" fillId="8" borderId="1" xfId="0" applyFont="1" applyFill="1" applyBorder="1"/>
    <xf numFmtId="0" fontId="2" fillId="0" borderId="135" xfId="0" applyFont="1" applyBorder="1"/>
    <xf numFmtId="0" fontId="51" fillId="8" borderId="1" xfId="0" applyFont="1" applyFill="1" applyBorder="1"/>
    <xf numFmtId="0" fontId="2" fillId="0" borderId="32" xfId="0" applyFont="1" applyBorder="1"/>
    <xf numFmtId="168" fontId="67" fillId="0" borderId="67" xfId="0" applyNumberFormat="1" applyFont="1" applyBorder="1" applyAlignment="1">
      <alignment horizontal="center"/>
    </xf>
    <xf numFmtId="43" fontId="4" fillId="0" borderId="0" xfId="0" applyNumberFormat="1" applyFont="1"/>
    <xf numFmtId="0" fontId="62" fillId="0" borderId="32" xfId="0" applyFont="1" applyBorder="1" applyAlignment="1">
      <alignment horizontal="center"/>
    </xf>
    <xf numFmtId="0" fontId="2" fillId="0" borderId="158" xfId="0" applyFont="1" applyBorder="1"/>
    <xf numFmtId="0" fontId="2" fillId="0" borderId="159" xfId="0" applyFont="1" applyBorder="1"/>
    <xf numFmtId="0" fontId="57" fillId="0" borderId="159" xfId="0" applyFont="1" applyBorder="1" applyAlignment="1">
      <alignment horizontal="center"/>
    </xf>
    <xf numFmtId="0" fontId="2" fillId="0" borderId="160" xfId="0" applyFont="1" applyBorder="1"/>
    <xf numFmtId="175" fontId="50" fillId="0" borderId="63" xfId="0" applyNumberFormat="1" applyFont="1" applyBorder="1"/>
    <xf numFmtId="168" fontId="68" fillId="0" borderId="78" xfId="0" applyNumberFormat="1" applyFont="1" applyBorder="1" applyAlignment="1">
      <alignment horizontal="center"/>
    </xf>
    <xf numFmtId="0" fontId="19" fillId="0" borderId="159" xfId="0" applyFont="1" applyBorder="1"/>
    <xf numFmtId="0" fontId="19" fillId="0" borderId="160" xfId="0" applyFont="1" applyBorder="1"/>
    <xf numFmtId="0" fontId="19" fillId="0" borderId="158" xfId="0" applyFont="1" applyBorder="1"/>
    <xf numFmtId="0" fontId="2" fillId="0" borderId="49" xfId="0" applyFont="1" applyBorder="1"/>
    <xf numFmtId="0" fontId="57" fillId="0" borderId="159" xfId="0" applyFont="1" applyBorder="1" applyAlignment="1">
      <alignment horizontal="left"/>
    </xf>
    <xf numFmtId="0" fontId="50" fillId="0" borderId="161" xfId="0" applyFont="1" applyBorder="1" applyAlignment="1">
      <alignment horizontal="center"/>
    </xf>
    <xf numFmtId="0" fontId="2" fillId="0" borderId="50" xfId="0" applyFont="1" applyBorder="1"/>
    <xf numFmtId="0" fontId="2" fillId="0" borderId="51" xfId="0" applyFont="1" applyBorder="1"/>
    <xf numFmtId="0" fontId="18" fillId="0" borderId="162" xfId="0" applyFont="1" applyBorder="1" applyAlignment="1">
      <alignment horizontal="center"/>
    </xf>
    <xf numFmtId="0" fontId="18" fillId="0" borderId="163" xfId="0" applyFont="1" applyBorder="1" applyAlignment="1">
      <alignment horizontal="center"/>
    </xf>
    <xf numFmtId="0" fontId="40" fillId="0" borderId="162" xfId="0" applyFont="1" applyBorder="1"/>
    <xf numFmtId="0" fontId="2" fillId="14" borderId="1" xfId="0" applyFont="1" applyFill="1" applyBorder="1"/>
    <xf numFmtId="0" fontId="14" fillId="0" borderId="163" xfId="0" applyFont="1" applyBorder="1"/>
    <xf numFmtId="168" fontId="68" fillId="0" borderId="4" xfId="0" applyNumberFormat="1" applyFont="1" applyBorder="1" applyAlignment="1">
      <alignment horizontal="center"/>
    </xf>
    <xf numFmtId="0" fontId="14" fillId="0" borderId="162" xfId="0" applyFont="1" applyBorder="1"/>
    <xf numFmtId="3" fontId="4" fillId="0" borderId="0" xfId="0" applyNumberFormat="1" applyFont="1"/>
    <xf numFmtId="0" fontId="50" fillId="0" borderId="164" xfId="0" applyFont="1" applyBorder="1" applyAlignment="1">
      <alignment horizontal="center"/>
    </xf>
    <xf numFmtId="0" fontId="59" fillId="0" borderId="14" xfId="0" applyFont="1" applyBorder="1" applyAlignment="1">
      <alignment horizontal="center"/>
    </xf>
    <xf numFmtId="0" fontId="41" fillId="0" borderId="0" xfId="0" applyFont="1"/>
    <xf numFmtId="0" fontId="57" fillId="0" borderId="118" xfId="0" applyFont="1" applyBorder="1" applyAlignment="1">
      <alignment horizontal="center"/>
    </xf>
    <xf numFmtId="0" fontId="41" fillId="0" borderId="162" xfId="0" applyFont="1" applyBorder="1" applyAlignment="1">
      <alignment horizontal="center"/>
    </xf>
    <xf numFmtId="0" fontId="57" fillId="0" borderId="101" xfId="0" applyFont="1" applyBorder="1" applyAlignment="1">
      <alignment horizontal="center"/>
    </xf>
    <xf numFmtId="0" fontId="50" fillId="0" borderId="162" xfId="0" applyFont="1" applyBorder="1" applyAlignment="1">
      <alignment horizontal="center" wrapText="1"/>
    </xf>
    <xf numFmtId="0" fontId="50" fillId="0" borderId="0" xfId="0" applyFont="1" applyAlignment="1">
      <alignment horizontal="center" wrapText="1"/>
    </xf>
    <xf numFmtId="0" fontId="57" fillId="0" borderId="102" xfId="0" applyFont="1" applyBorder="1" applyAlignment="1">
      <alignment horizontal="center"/>
    </xf>
    <xf numFmtId="0" fontId="50" fillId="0" borderId="6" xfId="0" applyFont="1" applyBorder="1" applyAlignment="1">
      <alignment horizontal="center" wrapText="1"/>
    </xf>
    <xf numFmtId="0" fontId="50" fillId="0" borderId="165" xfId="0" applyFont="1" applyBorder="1" applyAlignment="1">
      <alignment horizontal="center" wrapText="1"/>
    </xf>
    <xf numFmtId="0" fontId="57" fillId="0" borderId="0" xfId="0" applyFont="1" applyAlignment="1">
      <alignment horizontal="center"/>
    </xf>
    <xf numFmtId="0" fontId="50" fillId="0" borderId="166" xfId="0" applyFont="1" applyBorder="1" applyAlignment="1">
      <alignment horizontal="center" wrapText="1"/>
    </xf>
    <xf numFmtId="0" fontId="61" fillId="0" borderId="0" xfId="0" applyFont="1"/>
    <xf numFmtId="0" fontId="47" fillId="0" borderId="59" xfId="0" applyFont="1" applyBorder="1" applyAlignment="1">
      <alignment horizontal="center"/>
    </xf>
    <xf numFmtId="0" fontId="68" fillId="0" borderId="0" xfId="0" applyFont="1"/>
    <xf numFmtId="0" fontId="47" fillId="0" borderId="120" xfId="0" applyFont="1" applyBorder="1" applyAlignment="1">
      <alignment horizontal="center"/>
    </xf>
    <xf numFmtId="0" fontId="47" fillId="0" borderId="121" xfId="0" applyFont="1" applyBorder="1" applyAlignment="1">
      <alignment horizontal="center"/>
    </xf>
    <xf numFmtId="0" fontId="71" fillId="0" borderId="0" xfId="0" applyFont="1"/>
    <xf numFmtId="0" fontId="59" fillId="0" borderId="6" xfId="0" applyFont="1" applyBorder="1" applyAlignment="1">
      <alignment horizontal="center"/>
    </xf>
    <xf numFmtId="0" fontId="47" fillId="0" borderId="57" xfId="0" applyFont="1" applyBorder="1" applyAlignment="1">
      <alignment horizontal="center"/>
    </xf>
    <xf numFmtId="0" fontId="4" fillId="0" borderId="0" xfId="0" applyFont="1" applyAlignment="1">
      <alignment horizontal="left" vertical="top" wrapText="1"/>
    </xf>
    <xf numFmtId="168" fontId="40" fillId="8" borderId="4" xfId="0" applyNumberFormat="1" applyFont="1" applyFill="1" applyBorder="1"/>
    <xf numFmtId="0" fontId="67" fillId="0" borderId="0" xfId="0" applyFont="1" applyAlignment="1">
      <alignment horizontal="center" vertical="center" wrapText="1"/>
    </xf>
    <xf numFmtId="0" fontId="59" fillId="0" borderId="0" xfId="0" applyFont="1"/>
    <xf numFmtId="0" fontId="4" fillId="0" borderId="0" xfId="0" applyFont="1" applyAlignment="1">
      <alignment vertical="center"/>
    </xf>
    <xf numFmtId="0" fontId="49" fillId="0" borderId="0" xfId="0" applyFont="1" applyAlignment="1">
      <alignment horizontal="center" vertical="center" wrapText="1"/>
    </xf>
    <xf numFmtId="168" fontId="40" fillId="0" borderId="167" xfId="0" applyNumberFormat="1" applyFont="1" applyBorder="1"/>
    <xf numFmtId="168" fontId="2" fillId="0" borderId="21" xfId="0" applyNumberFormat="1" applyFont="1" applyBorder="1"/>
    <xf numFmtId="10" fontId="4" fillId="0" borderId="0" xfId="0" applyNumberFormat="1" applyFont="1"/>
    <xf numFmtId="175" fontId="45" fillId="0" borderId="21" xfId="0" applyNumberFormat="1" applyFont="1" applyBorder="1" applyAlignment="1">
      <alignment horizontal="center"/>
    </xf>
    <xf numFmtId="4" fontId="4" fillId="0" borderId="0" xfId="0" applyNumberFormat="1" applyFont="1"/>
    <xf numFmtId="172" fontId="14" fillId="0" borderId="168" xfId="0" applyNumberFormat="1" applyFont="1" applyBorder="1"/>
    <xf numFmtId="175" fontId="2" fillId="0" borderId="28" xfId="0" applyNumberFormat="1" applyFont="1" applyBorder="1" applyAlignment="1">
      <alignment horizontal="center"/>
    </xf>
    <xf numFmtId="43" fontId="19" fillId="4" borderId="167" xfId="0" applyNumberFormat="1" applyFont="1" applyFill="1" applyBorder="1"/>
    <xf numFmtId="180" fontId="19" fillId="4" borderId="4" xfId="0" applyNumberFormat="1" applyFont="1" applyFill="1" applyBorder="1" applyAlignment="1">
      <alignment horizontal="right"/>
    </xf>
    <xf numFmtId="175" fontId="2" fillId="0" borderId="21" xfId="0" applyNumberFormat="1" applyFont="1" applyBorder="1"/>
    <xf numFmtId="178" fontId="14" fillId="0" borderId="0" xfId="0" applyNumberFormat="1" applyFont="1"/>
    <xf numFmtId="172" fontId="19" fillId="0" borderId="0" xfId="0" applyNumberFormat="1" applyFont="1"/>
    <xf numFmtId="168" fontId="2" fillId="0" borderId="0" xfId="0" applyNumberFormat="1" applyFont="1"/>
    <xf numFmtId="168" fontId="2" fillId="2" borderId="1" xfId="0" applyNumberFormat="1" applyFont="1" applyFill="1" applyBorder="1" applyAlignment="1">
      <alignment horizontal="center"/>
    </xf>
    <xf numFmtId="172" fontId="19" fillId="0" borderId="163" xfId="0" applyNumberFormat="1" applyFont="1" applyBorder="1"/>
    <xf numFmtId="175" fontId="45" fillId="0" borderId="0" xfId="0" applyNumberFormat="1" applyFont="1" applyAlignment="1">
      <alignment horizontal="center"/>
    </xf>
    <xf numFmtId="185" fontId="19" fillId="0" borderId="0" xfId="0" applyNumberFormat="1" applyFont="1"/>
    <xf numFmtId="175" fontId="2" fillId="0" borderId="0" xfId="0" applyNumberFormat="1" applyFont="1" applyAlignment="1">
      <alignment horizontal="center"/>
    </xf>
    <xf numFmtId="180" fontId="19" fillId="4" borderId="167" xfId="0" applyNumberFormat="1" applyFont="1" applyFill="1" applyBorder="1"/>
    <xf numFmtId="175" fontId="2" fillId="0" borderId="0" xfId="0" applyNumberFormat="1" applyFont="1"/>
    <xf numFmtId="175" fontId="19" fillId="0" borderId="0" xfId="0" applyNumberFormat="1" applyFont="1"/>
    <xf numFmtId="185" fontId="19" fillId="0" borderId="163" xfId="0" applyNumberFormat="1" applyFont="1" applyBorder="1"/>
    <xf numFmtId="175" fontId="45" fillId="0" borderId="4" xfId="0" applyNumberFormat="1" applyFont="1" applyBorder="1" applyAlignment="1">
      <alignment horizontal="center"/>
    </xf>
    <xf numFmtId="175" fontId="2" fillId="0" borderId="4" xfId="0" applyNumberFormat="1" applyFont="1" applyBorder="1"/>
    <xf numFmtId="39" fontId="19" fillId="0" borderId="164" xfId="0" applyNumberFormat="1" applyFont="1" applyBorder="1"/>
    <xf numFmtId="0" fontId="49" fillId="0" borderId="7" xfId="0" applyFont="1" applyBorder="1"/>
    <xf numFmtId="0" fontId="68" fillId="0" borderId="53" xfId="0" applyFont="1" applyBorder="1"/>
    <xf numFmtId="41" fontId="14" fillId="0" borderId="0" xfId="0" applyNumberFormat="1" applyFont="1"/>
    <xf numFmtId="0" fontId="49" fillId="0" borderId="8" xfId="0" applyFont="1" applyBorder="1"/>
    <xf numFmtId="0" fontId="45" fillId="0" borderId="0" xfId="0" applyFont="1" applyAlignment="1">
      <alignment wrapText="1"/>
    </xf>
    <xf numFmtId="0" fontId="4" fillId="0" borderId="58" xfId="0" applyFont="1" applyBorder="1"/>
    <xf numFmtId="186" fontId="19" fillId="4" borderId="4" xfId="0" applyNumberFormat="1" applyFont="1" applyFill="1" applyBorder="1"/>
    <xf numFmtId="180" fontId="19" fillId="4" borderId="4" xfId="0" applyNumberFormat="1" applyFont="1" applyFill="1" applyBorder="1"/>
    <xf numFmtId="170" fontId="4" fillId="0" borderId="59" xfId="0" applyNumberFormat="1" applyFont="1" applyBorder="1"/>
    <xf numFmtId="177" fontId="4" fillId="0" borderId="0" xfId="0" applyNumberFormat="1" applyFont="1"/>
    <xf numFmtId="165" fontId="4" fillId="0" borderId="0" xfId="0" applyNumberFormat="1" applyFont="1"/>
    <xf numFmtId="0" fontId="72" fillId="0" borderId="58" xfId="0" applyFont="1" applyBorder="1" applyAlignment="1">
      <alignment horizontal="left"/>
    </xf>
    <xf numFmtId="0" fontId="4" fillId="0" borderId="61" xfId="0" applyFont="1" applyBorder="1" applyAlignment="1">
      <alignment horizontal="left" vertical="top" wrapText="1"/>
    </xf>
    <xf numFmtId="0" fontId="68" fillId="0" borderId="57" xfId="0" applyFont="1" applyBorder="1"/>
    <xf numFmtId="168" fontId="4" fillId="0" borderId="59" xfId="0" applyNumberFormat="1" applyFont="1" applyBorder="1"/>
    <xf numFmtId="2" fontId="14" fillId="0" borderId="4" xfId="0" applyNumberFormat="1" applyFont="1" applyBorder="1"/>
    <xf numFmtId="0" fontId="49" fillId="0" borderId="61" xfId="0" applyFont="1" applyBorder="1"/>
    <xf numFmtId="168" fontId="4" fillId="0" borderId="57" xfId="0" applyNumberFormat="1" applyFont="1" applyBorder="1"/>
    <xf numFmtId="168" fontId="40" fillId="0" borderId="0" xfId="0" applyNumberFormat="1" applyFont="1"/>
    <xf numFmtId="0" fontId="49" fillId="0" borderId="57" xfId="0" applyFont="1" applyBorder="1"/>
    <xf numFmtId="172" fontId="14" fillId="0" borderId="0" xfId="0" applyNumberFormat="1" applyFont="1"/>
    <xf numFmtId="172" fontId="14" fillId="0" borderId="163" xfId="0" applyNumberFormat="1" applyFont="1" applyBorder="1"/>
    <xf numFmtId="0" fontId="14" fillId="0" borderId="164" xfId="0" applyFont="1" applyBorder="1"/>
    <xf numFmtId="0" fontId="23" fillId="7" borderId="89" xfId="0" applyFont="1" applyFill="1" applyBorder="1"/>
    <xf numFmtId="0" fontId="72" fillId="0" borderId="61" xfId="0" applyFont="1" applyBorder="1" applyAlignment="1">
      <alignment horizontal="left"/>
    </xf>
    <xf numFmtId="175" fontId="19" fillId="0" borderId="136" xfId="0" applyNumberFormat="1" applyFont="1" applyBorder="1"/>
    <xf numFmtId="9" fontId="19" fillId="0" borderId="0" xfId="0" applyNumberFormat="1" applyFont="1"/>
    <xf numFmtId="175" fontId="2" fillId="0" borderId="32" xfId="0" applyNumberFormat="1" applyFont="1" applyBorder="1"/>
    <xf numFmtId="175" fontId="73" fillId="16" borderId="89" xfId="0" applyNumberFormat="1" applyFont="1" applyFill="1" applyBorder="1" applyAlignment="1">
      <alignment horizontal="center"/>
    </xf>
    <xf numFmtId="175" fontId="74" fillId="16" borderId="91" xfId="0" applyNumberFormat="1" applyFont="1" applyFill="1" applyBorder="1"/>
    <xf numFmtId="175" fontId="62" fillId="0" borderId="0" xfId="0" applyNumberFormat="1" applyFont="1" applyAlignment="1">
      <alignment horizontal="center"/>
    </xf>
    <xf numFmtId="186" fontId="19" fillId="4" borderId="147" xfId="0" applyNumberFormat="1" applyFont="1" applyFill="1" applyBorder="1"/>
    <xf numFmtId="180" fontId="19" fillId="4" borderId="147" xfId="0" applyNumberFormat="1" applyFont="1" applyFill="1" applyBorder="1"/>
    <xf numFmtId="10" fontId="19" fillId="0" borderId="0" xfId="0" applyNumberFormat="1" applyFont="1"/>
    <xf numFmtId="180" fontId="19" fillId="4" borderId="169" xfId="0" applyNumberFormat="1" applyFont="1" applyFill="1" applyBorder="1"/>
    <xf numFmtId="0" fontId="58" fillId="0" borderId="0" xfId="0" applyFont="1"/>
    <xf numFmtId="175" fontId="27" fillId="0" borderId="0" xfId="0" applyNumberFormat="1" applyFont="1"/>
    <xf numFmtId="0" fontId="47" fillId="0" borderId="170" xfId="0" applyFont="1" applyBorder="1" applyAlignment="1">
      <alignment horizontal="center"/>
    </xf>
    <xf numFmtId="0" fontId="47" fillId="0" borderId="171" xfId="0" applyFont="1" applyBorder="1" applyAlignment="1">
      <alignment horizontal="center"/>
    </xf>
    <xf numFmtId="0" fontId="19" fillId="0" borderId="171" xfId="0" applyFont="1" applyBorder="1"/>
    <xf numFmtId="0" fontId="47" fillId="0" borderId="171" xfId="0" applyFont="1" applyBorder="1" applyAlignment="1">
      <alignment horizontal="center" wrapText="1"/>
    </xf>
    <xf numFmtId="0" fontId="47" fillId="0" borderId="0" xfId="0" applyFont="1"/>
    <xf numFmtId="0" fontId="47" fillId="0" borderId="172" xfId="0" applyFont="1" applyBorder="1" applyAlignment="1">
      <alignment horizontal="center"/>
    </xf>
    <xf numFmtId="0" fontId="40" fillId="8" borderId="4" xfId="0" applyFont="1" applyFill="1" applyBorder="1"/>
    <xf numFmtId="171" fontId="40" fillId="8" borderId="4" xfId="0" applyNumberFormat="1" applyFont="1" applyFill="1" applyBorder="1"/>
    <xf numFmtId="0" fontId="19" fillId="0" borderId="172" xfId="0" applyFont="1" applyBorder="1"/>
    <xf numFmtId="0" fontId="19" fillId="0" borderId="173" xfId="0" applyFont="1" applyBorder="1"/>
    <xf numFmtId="0" fontId="40" fillId="0" borderId="174" xfId="0" applyFont="1" applyBorder="1"/>
    <xf numFmtId="168" fontId="7" fillId="6" borderId="172" xfId="0" applyNumberFormat="1" applyFont="1" applyFill="1" applyBorder="1"/>
    <xf numFmtId="0" fontId="40" fillId="0" borderId="175" xfId="0" applyFont="1" applyBorder="1" applyAlignment="1">
      <alignment horizontal="center"/>
    </xf>
    <xf numFmtId="0" fontId="40" fillId="0" borderId="175" xfId="0" applyFont="1" applyBorder="1"/>
    <xf numFmtId="0" fontId="48" fillId="0" borderId="4" xfId="0" applyFont="1" applyBorder="1" applyAlignment="1">
      <alignment horizontal="center"/>
    </xf>
    <xf numFmtId="0" fontId="40" fillId="0" borderId="175" xfId="0" applyFont="1" applyBorder="1" applyAlignment="1">
      <alignment horizontal="left"/>
    </xf>
    <xf numFmtId="167" fontId="7" fillId="0" borderId="4" xfId="0" applyNumberFormat="1" applyFont="1" applyBorder="1"/>
    <xf numFmtId="172" fontId="40" fillId="0" borderId="176" xfId="0" applyNumberFormat="1" applyFont="1" applyBorder="1"/>
    <xf numFmtId="0" fontId="19" fillId="0" borderId="4" xfId="0" applyFont="1" applyBorder="1" applyAlignment="1">
      <alignment horizontal="center"/>
    </xf>
    <xf numFmtId="0" fontId="14" fillId="0" borderId="175" xfId="0" applyFont="1" applyBorder="1"/>
    <xf numFmtId="0" fontId="14" fillId="0" borderId="176" xfId="0" applyFont="1" applyBorder="1"/>
    <xf numFmtId="0" fontId="14" fillId="0" borderId="174" xfId="0" applyFont="1" applyBorder="1"/>
    <xf numFmtId="0" fontId="14" fillId="0" borderId="177" xfId="0" applyFont="1" applyBorder="1"/>
    <xf numFmtId="0" fontId="40" fillId="0" borderId="0" xfId="0" applyFont="1" applyAlignment="1">
      <alignment horizontal="left"/>
    </xf>
    <xf numFmtId="175" fontId="19" fillId="7" borderId="173" xfId="0" applyNumberFormat="1" applyFont="1" applyFill="1" applyBorder="1"/>
    <xf numFmtId="0" fontId="19" fillId="0" borderId="178" xfId="0" applyFont="1" applyBorder="1"/>
    <xf numFmtId="0" fontId="19" fillId="0" borderId="179" xfId="0" applyFont="1" applyBorder="1"/>
    <xf numFmtId="0" fontId="19" fillId="0" borderId="180" xfId="0" applyFont="1" applyBorder="1"/>
    <xf numFmtId="0" fontId="19" fillId="0" borderId="69" xfId="0" applyFont="1" applyBorder="1"/>
    <xf numFmtId="0" fontId="19" fillId="0" borderId="71" xfId="0" applyFont="1" applyBorder="1"/>
    <xf numFmtId="0" fontId="23" fillId="7" borderId="62" xfId="0" applyFont="1" applyFill="1" applyBorder="1"/>
    <xf numFmtId="9" fontId="40" fillId="0" borderId="4" xfId="0" applyNumberFormat="1" applyFont="1" applyBorder="1"/>
    <xf numFmtId="0" fontId="23" fillId="0" borderId="81" xfId="0" applyFont="1" applyBorder="1"/>
    <xf numFmtId="0" fontId="50" fillId="0" borderId="81" xfId="0" applyFont="1" applyBorder="1" applyAlignment="1">
      <alignment horizontal="center"/>
    </xf>
    <xf numFmtId="0" fontId="19" fillId="0" borderId="81" xfId="0" applyFont="1" applyBorder="1" applyAlignment="1">
      <alignment horizontal="center"/>
    </xf>
    <xf numFmtId="168" fontId="23" fillId="0" borderId="81" xfId="0" applyNumberFormat="1" applyFont="1" applyBorder="1" applyAlignment="1">
      <alignment horizontal="center"/>
    </xf>
    <xf numFmtId="0" fontId="16" fillId="0" borderId="62" xfId="0" applyFont="1" applyBorder="1"/>
    <xf numFmtId="168" fontId="17" fillId="0" borderId="81" xfId="0" applyNumberFormat="1" applyFont="1" applyBorder="1" applyAlignment="1">
      <alignment horizontal="center"/>
    </xf>
    <xf numFmtId="168" fontId="58" fillId="0" borderId="0" xfId="0" applyNumberFormat="1" applyFont="1"/>
    <xf numFmtId="0" fontId="17" fillId="0" borderId="81" xfId="0" applyFont="1" applyBorder="1" applyAlignment="1">
      <alignment horizontal="center"/>
    </xf>
    <xf numFmtId="0" fontId="70" fillId="4" borderId="1" xfId="0" applyFont="1" applyFill="1" applyBorder="1"/>
    <xf numFmtId="0" fontId="2" fillId="4" borderId="1" xfId="0" applyFont="1" applyFill="1" applyBorder="1"/>
    <xf numFmtId="0" fontId="51" fillId="4" borderId="1" xfId="0" applyFont="1" applyFill="1" applyBorder="1"/>
    <xf numFmtId="9" fontId="19" fillId="0" borderId="81" xfId="0" applyNumberFormat="1" applyFont="1" applyBorder="1" applyAlignment="1">
      <alignment horizontal="center"/>
    </xf>
    <xf numFmtId="0" fontId="60" fillId="0" borderId="0" xfId="0" applyFont="1"/>
    <xf numFmtId="168" fontId="19" fillId="0" borderId="81" xfId="0" applyNumberFormat="1" applyFont="1" applyBorder="1" applyAlignment="1">
      <alignment horizontal="center"/>
    </xf>
    <xf numFmtId="168" fontId="75" fillId="4" borderId="4" xfId="0" applyNumberFormat="1" applyFont="1" applyFill="1" applyBorder="1"/>
    <xf numFmtId="0" fontId="60" fillId="0" borderId="0" xfId="0" applyFont="1" applyAlignment="1">
      <alignment horizontal="center"/>
    </xf>
    <xf numFmtId="2" fontId="19" fillId="0" borderId="81" xfId="0" applyNumberFormat="1" applyFont="1" applyBorder="1" applyAlignment="1">
      <alignment horizontal="center"/>
    </xf>
    <xf numFmtId="171" fontId="75" fillId="0" borderId="4" xfId="0" applyNumberFormat="1" applyFont="1" applyBorder="1"/>
    <xf numFmtId="10" fontId="19" fillId="0" borderId="81" xfId="0" applyNumberFormat="1" applyFont="1" applyBorder="1" applyAlignment="1">
      <alignment horizontal="center"/>
    </xf>
    <xf numFmtId="168" fontId="75" fillId="0" borderId="4" xfId="0" applyNumberFormat="1" applyFont="1" applyBorder="1"/>
    <xf numFmtId="0" fontId="75" fillId="0" borderId="0" xfId="0" applyFont="1" applyAlignment="1">
      <alignment horizontal="center"/>
    </xf>
    <xf numFmtId="0" fontId="58" fillId="0" borderId="62" xfId="0" applyFont="1" applyBorder="1"/>
    <xf numFmtId="175" fontId="27" fillId="0" borderId="81" xfId="0" applyNumberFormat="1" applyFont="1" applyBorder="1" applyAlignment="1">
      <alignment horizontal="center"/>
    </xf>
    <xf numFmtId="2" fontId="75" fillId="0" borderId="4" xfId="0" applyNumberFormat="1" applyFont="1" applyBorder="1"/>
    <xf numFmtId="168" fontId="76" fillId="2" borderId="1" xfId="0" applyNumberFormat="1" applyFont="1" applyFill="1" applyBorder="1"/>
    <xf numFmtId="0" fontId="75" fillId="0" borderId="0" xfId="0" applyFont="1"/>
    <xf numFmtId="171" fontId="75" fillId="0" borderId="0" xfId="0" applyNumberFormat="1" applyFont="1"/>
    <xf numFmtId="168" fontId="75" fillId="0" borderId="0" xfId="0" applyNumberFormat="1" applyFont="1"/>
    <xf numFmtId="179" fontId="7" fillId="0" borderId="89" xfId="0" applyNumberFormat="1" applyFont="1" applyBorder="1"/>
    <xf numFmtId="0" fontId="59" fillId="0" borderId="6" xfId="0" applyFont="1" applyBorder="1"/>
    <xf numFmtId="168" fontId="76" fillId="2" borderId="181" xfId="0" applyNumberFormat="1" applyFont="1" applyFill="1" applyBorder="1"/>
    <xf numFmtId="0" fontId="60" fillId="0" borderId="6" xfId="0" applyFont="1" applyBorder="1" applyAlignment="1">
      <alignment horizontal="center"/>
    </xf>
    <xf numFmtId="0" fontId="75" fillId="0" borderId="6" xfId="0" applyFont="1" applyBorder="1"/>
    <xf numFmtId="171" fontId="75" fillId="0" borderId="6" xfId="0" applyNumberFormat="1" applyFont="1" applyBorder="1"/>
    <xf numFmtId="0" fontId="2" fillId="0" borderId="6" xfId="0" applyFont="1" applyBorder="1" applyAlignment="1">
      <alignment horizontal="center"/>
    </xf>
    <xf numFmtId="168" fontId="75" fillId="0" borderId="6" xfId="0" applyNumberFormat="1" applyFont="1" applyBorder="1"/>
    <xf numFmtId="172" fontId="7" fillId="0" borderId="6" xfId="0" applyNumberFormat="1" applyFont="1" applyBorder="1"/>
    <xf numFmtId="0" fontId="60" fillId="0" borderId="6" xfId="0" applyFont="1" applyBorder="1"/>
    <xf numFmtId="0" fontId="77" fillId="17" borderId="89" xfId="0" applyFont="1" applyFill="1" applyBorder="1" applyAlignment="1">
      <alignment horizontal="center" vertical="top" wrapText="1"/>
    </xf>
    <xf numFmtId="0" fontId="77" fillId="17" borderId="182" xfId="0" applyFont="1" applyFill="1" applyBorder="1" applyAlignment="1">
      <alignment horizontal="center" wrapText="1"/>
    </xf>
    <xf numFmtId="0" fontId="18" fillId="12" borderId="157" xfId="0" applyFont="1" applyFill="1" applyBorder="1" applyAlignment="1">
      <alignment horizontal="center" vertical="top" wrapText="1"/>
    </xf>
    <xf numFmtId="3" fontId="18" fillId="12" borderId="183" xfId="0" applyNumberFormat="1" applyFont="1" applyFill="1" applyBorder="1" applyAlignment="1">
      <alignment horizontal="center" vertical="top" wrapText="1"/>
    </xf>
    <xf numFmtId="0" fontId="18" fillId="12" borderId="9" xfId="0" applyFont="1" applyFill="1" applyBorder="1" applyAlignment="1">
      <alignment horizontal="center" vertical="top" wrapText="1"/>
    </xf>
    <xf numFmtId="0" fontId="78" fillId="7" borderId="184" xfId="0" applyFont="1" applyFill="1" applyBorder="1" applyAlignment="1">
      <alignment horizontal="center" vertical="top" wrapText="1"/>
    </xf>
    <xf numFmtId="0" fontId="78" fillId="7" borderId="182" xfId="0" applyFont="1" applyFill="1" applyBorder="1" applyAlignment="1">
      <alignment horizontal="center" vertical="top" wrapText="1"/>
    </xf>
    <xf numFmtId="0" fontId="78" fillId="7" borderId="15" xfId="0" applyFont="1" applyFill="1" applyBorder="1" applyAlignment="1">
      <alignment horizontal="center" vertical="top" wrapText="1"/>
    </xf>
    <xf numFmtId="0" fontId="14" fillId="0" borderId="104" xfId="0" applyFont="1" applyBorder="1" applyAlignment="1">
      <alignment horizontal="center" wrapText="1"/>
    </xf>
    <xf numFmtId="3" fontId="40" fillId="0" borderId="57" xfId="0" applyNumberFormat="1" applyFont="1" applyBorder="1" applyAlignment="1">
      <alignment horizontal="center" vertical="top" wrapText="1"/>
    </xf>
    <xf numFmtId="0" fontId="40" fillId="0" borderId="15" xfId="0" applyFont="1" applyBorder="1" applyAlignment="1">
      <alignment horizontal="center" wrapText="1"/>
    </xf>
    <xf numFmtId="0" fontId="40" fillId="0" borderId="57" xfId="0" applyFont="1" applyBorder="1" applyAlignment="1">
      <alignment horizontal="center" vertical="top" wrapText="1"/>
    </xf>
    <xf numFmtId="0" fontId="40" fillId="0" borderId="96" xfId="0" applyFont="1" applyBorder="1" applyAlignment="1">
      <alignment horizontal="center" wrapText="1"/>
    </xf>
    <xf numFmtId="0" fontId="14" fillId="0" borderId="0" xfId="0" applyFont="1" applyAlignment="1">
      <alignment vertical="center"/>
    </xf>
    <xf numFmtId="0" fontId="77" fillId="17" borderId="157" xfId="0" applyFont="1" applyFill="1" applyBorder="1" applyAlignment="1">
      <alignment horizontal="center" wrapText="1"/>
    </xf>
    <xf numFmtId="0" fontId="40" fillId="0" borderId="57" xfId="0" applyFont="1" applyBorder="1" applyAlignment="1">
      <alignment horizontal="center" wrapText="1"/>
    </xf>
    <xf numFmtId="0" fontId="40" fillId="0" borderId="104" xfId="0" applyFont="1" applyBorder="1" applyAlignment="1">
      <alignment horizontal="center" wrapText="1"/>
    </xf>
    <xf numFmtId="3" fontId="40" fillId="0" borderId="104" xfId="0" applyNumberFormat="1" applyFont="1" applyBorder="1" applyAlignment="1">
      <alignment horizontal="center" wrapText="1"/>
    </xf>
    <xf numFmtId="3" fontId="40" fillId="7" borderId="89" xfId="0" applyNumberFormat="1" applyFont="1" applyFill="1" applyBorder="1" applyAlignment="1">
      <alignment horizontal="center" wrapText="1"/>
    </xf>
    <xf numFmtId="3" fontId="40" fillId="7" borderId="157" xfId="0" applyNumberFormat="1" applyFont="1" applyFill="1" applyBorder="1" applyAlignment="1">
      <alignment horizontal="center" wrapText="1"/>
    </xf>
    <xf numFmtId="0" fontId="5" fillId="0" borderId="0" xfId="0" applyFont="1"/>
    <xf numFmtId="0" fontId="5" fillId="0" borderId="4" xfId="0" applyFont="1" applyBorder="1"/>
    <xf numFmtId="0" fontId="79" fillId="0" borderId="4" xfId="0" applyFont="1" applyBorder="1" applyAlignment="1">
      <alignment horizontal="center" vertical="center" wrapText="1"/>
    </xf>
    <xf numFmtId="0" fontId="79" fillId="0" borderId="4" xfId="0" applyFont="1" applyBorder="1" applyAlignment="1">
      <alignment horizontal="center"/>
    </xf>
    <xf numFmtId="0" fontId="79" fillId="0" borderId="4" xfId="0" applyFont="1" applyBorder="1" applyAlignment="1">
      <alignment horizontal="center" wrapText="1"/>
    </xf>
    <xf numFmtId="168" fontId="5" fillId="0" borderId="4" xfId="0" applyNumberFormat="1" applyFont="1" applyBorder="1"/>
    <xf numFmtId="167" fontId="5" fillId="0" borderId="4" xfId="0" applyNumberFormat="1" applyFont="1" applyBorder="1"/>
    <xf numFmtId="0" fontId="23" fillId="18" borderId="1" xfId="0" applyFont="1" applyFill="1" applyBorder="1"/>
    <xf numFmtId="0" fontId="19" fillId="18" borderId="1" xfId="0" applyFont="1" applyFill="1" applyBorder="1"/>
    <xf numFmtId="0" fontId="19" fillId="9" borderId="1" xfId="0" applyFont="1" applyFill="1" applyBorder="1"/>
    <xf numFmtId="0" fontId="19" fillId="0" borderId="75" xfId="0" applyFont="1" applyBorder="1"/>
    <xf numFmtId="0" fontId="19" fillId="18" borderId="185" xfId="0" applyFont="1" applyFill="1" applyBorder="1"/>
    <xf numFmtId="0" fontId="19" fillId="9" borderId="185" xfId="0" applyFont="1" applyFill="1" applyBorder="1"/>
    <xf numFmtId="0" fontId="19" fillId="0" borderId="76" xfId="0" applyFont="1" applyBorder="1"/>
    <xf numFmtId="0" fontId="19" fillId="0" borderId="77" xfId="0" applyFont="1" applyBorder="1"/>
    <xf numFmtId="0" fontId="19" fillId="0" borderId="78" xfId="0" applyFont="1" applyBorder="1"/>
    <xf numFmtId="0" fontId="19" fillId="18" borderId="147" xfId="0" applyFont="1" applyFill="1" applyBorder="1"/>
    <xf numFmtId="0" fontId="19" fillId="9" borderId="147" xfId="0" applyFont="1" applyFill="1" applyBorder="1"/>
    <xf numFmtId="0" fontId="19" fillId="0" borderId="84" xfId="0" applyFont="1" applyBorder="1"/>
    <xf numFmtId="168" fontId="5" fillId="0" borderId="4" xfId="0" applyNumberFormat="1" applyFont="1" applyBorder="1" applyAlignment="1">
      <alignment horizontal="right"/>
    </xf>
    <xf numFmtId="0" fontId="19" fillId="0" borderId="85" xfId="0" applyFont="1" applyBorder="1"/>
    <xf numFmtId="168" fontId="19" fillId="18" borderId="1" xfId="0" applyNumberFormat="1" applyFont="1" applyFill="1" applyBorder="1"/>
    <xf numFmtId="168" fontId="19" fillId="9" borderId="1" xfId="0" applyNumberFormat="1" applyFont="1" applyFill="1" applyBorder="1"/>
    <xf numFmtId="0" fontId="79" fillId="0" borderId="0" xfId="0" applyFont="1"/>
    <xf numFmtId="0" fontId="79" fillId="0" borderId="0" xfId="0" applyFont="1" applyAlignment="1">
      <alignment horizontal="center"/>
    </xf>
    <xf numFmtId="0" fontId="5" fillId="0" borderId="0" xfId="0" applyFont="1" applyAlignment="1">
      <alignment horizontal="center"/>
    </xf>
    <xf numFmtId="168" fontId="23" fillId="0" borderId="50" xfId="0" applyNumberFormat="1" applyFont="1" applyBorder="1"/>
    <xf numFmtId="187" fontId="23" fillId="7" borderId="186" xfId="0" applyNumberFormat="1" applyFont="1" applyFill="1" applyBorder="1"/>
    <xf numFmtId="187" fontId="19" fillId="0" borderId="0" xfId="0" applyNumberFormat="1" applyFont="1"/>
    <xf numFmtId="0" fontId="4" fillId="0" borderId="111" xfId="0" applyFont="1" applyBorder="1"/>
    <xf numFmtId="0" fontId="5" fillId="0" borderId="4" xfId="0" applyFont="1" applyBorder="1" applyAlignment="1">
      <alignment horizontal="left"/>
    </xf>
    <xf numFmtId="166" fontId="5" fillId="0" borderId="4" xfId="0" applyNumberFormat="1" applyFont="1" applyBorder="1"/>
    <xf numFmtId="43" fontId="5" fillId="0" borderId="4" xfId="0" applyNumberFormat="1" applyFont="1" applyBorder="1"/>
    <xf numFmtId="0" fontId="3" fillId="0" borderId="4" xfId="0" applyFont="1" applyBorder="1"/>
    <xf numFmtId="0" fontId="79" fillId="0" borderId="4" xfId="0" applyFont="1" applyBorder="1" applyAlignment="1">
      <alignment horizontal="center" vertical="center"/>
    </xf>
    <xf numFmtId="0" fontId="5" fillId="0" borderId="4" xfId="0" applyFont="1" applyBorder="1" applyAlignment="1">
      <alignment vertical="center"/>
    </xf>
    <xf numFmtId="168" fontId="7" fillId="0" borderId="4" xfId="0" applyNumberFormat="1" applyFont="1" applyBorder="1" applyAlignment="1">
      <alignment horizontal="right"/>
    </xf>
    <xf numFmtId="0" fontId="81" fillId="0" borderId="0" xfId="0" applyFont="1" applyAlignment="1">
      <alignment wrapText="1"/>
    </xf>
    <xf numFmtId="0" fontId="19" fillId="0" borderId="0" xfId="0" applyFont="1" applyAlignment="1">
      <alignment horizontal="left" wrapText="1"/>
    </xf>
    <xf numFmtId="0" fontId="82" fillId="0" borderId="170" xfId="0" applyFont="1" applyBorder="1"/>
    <xf numFmtId="0" fontId="82" fillId="0" borderId="171" xfId="0" applyFont="1" applyBorder="1"/>
    <xf numFmtId="0" fontId="83" fillId="0" borderId="171" xfId="0" applyFont="1" applyBorder="1" applyAlignment="1">
      <alignment horizontal="center"/>
    </xf>
    <xf numFmtId="0" fontId="83" fillId="0" borderId="187" xfId="0" applyFont="1" applyBorder="1" applyAlignment="1">
      <alignment horizontal="center"/>
    </xf>
    <xf numFmtId="0" fontId="83" fillId="0" borderId="172" xfId="0" applyFont="1" applyBorder="1"/>
    <xf numFmtId="0" fontId="82" fillId="0" borderId="4" xfId="0" applyFont="1" applyBorder="1"/>
    <xf numFmtId="0" fontId="83" fillId="0" borderId="4" xfId="0" applyFont="1" applyBorder="1" applyAlignment="1">
      <alignment horizontal="center"/>
    </xf>
    <xf numFmtId="0" fontId="83" fillId="0" borderId="173" xfId="0" applyFont="1" applyBorder="1" applyAlignment="1">
      <alignment horizontal="center"/>
    </xf>
    <xf numFmtId="0" fontId="83" fillId="0" borderId="4" xfId="0" applyFont="1" applyBorder="1"/>
    <xf numFmtId="0" fontId="82" fillId="0" borderId="173" xfId="0" applyFont="1" applyBorder="1"/>
    <xf numFmtId="0" fontId="82" fillId="0" borderId="172" xfId="0" applyFont="1" applyBorder="1" applyAlignment="1">
      <alignment horizontal="center"/>
    </xf>
    <xf numFmtId="0" fontId="82" fillId="0" borderId="4" xfId="0" applyFont="1" applyBorder="1" applyAlignment="1">
      <alignment horizontal="center"/>
    </xf>
    <xf numFmtId="9" fontId="82" fillId="0" borderId="4" xfId="0" applyNumberFormat="1" applyFont="1" applyBorder="1"/>
    <xf numFmtId="0" fontId="83" fillId="0" borderId="172" xfId="0" applyFont="1" applyBorder="1" applyAlignment="1">
      <alignment horizontal="center"/>
    </xf>
    <xf numFmtId="0" fontId="82" fillId="0" borderId="4" xfId="0" applyFont="1" applyBorder="1" applyAlignment="1">
      <alignment horizontal="left"/>
    </xf>
    <xf numFmtId="168" fontId="82" fillId="6" borderId="4" xfId="0" applyNumberFormat="1" applyFont="1" applyFill="1" applyBorder="1"/>
    <xf numFmtId="166" fontId="82" fillId="0" borderId="4" xfId="0" applyNumberFormat="1" applyFont="1" applyBorder="1"/>
    <xf numFmtId="0" fontId="44" fillId="0" borderId="4" xfId="0" applyFont="1" applyBorder="1"/>
    <xf numFmtId="0" fontId="62" fillId="0" borderId="4" xfId="0" applyFont="1" applyBorder="1"/>
    <xf numFmtId="0" fontId="44" fillId="6" borderId="4" xfId="0" applyFont="1" applyFill="1" applyBorder="1"/>
    <xf numFmtId="168" fontId="82" fillId="0" borderId="4" xfId="0" applyNumberFormat="1" applyFont="1" applyBorder="1"/>
    <xf numFmtId="168" fontId="44" fillId="6" borderId="4" xfId="0" applyNumberFormat="1" applyFont="1" applyFill="1" applyBorder="1"/>
    <xf numFmtId="168" fontId="82" fillId="0" borderId="173" xfId="0" applyNumberFormat="1" applyFont="1" applyBorder="1"/>
    <xf numFmtId="0" fontId="44" fillId="0" borderId="4" xfId="0" applyFont="1" applyBorder="1" applyAlignment="1">
      <alignment horizontal="left"/>
    </xf>
    <xf numFmtId="168" fontId="7" fillId="0" borderId="0" xfId="0" applyNumberFormat="1" applyFont="1"/>
    <xf numFmtId="0" fontId="84" fillId="0" borderId="172" xfId="0" applyFont="1" applyBorder="1" applyAlignment="1">
      <alignment horizontal="center"/>
    </xf>
    <xf numFmtId="43" fontId="82" fillId="0" borderId="4" xfId="0" applyNumberFormat="1" applyFont="1" applyBorder="1"/>
    <xf numFmtId="0" fontId="85" fillId="12" borderId="1" xfId="0" applyFont="1" applyFill="1" applyBorder="1"/>
    <xf numFmtId="0" fontId="19" fillId="12" borderId="1" xfId="0" applyFont="1" applyFill="1" applyBorder="1"/>
    <xf numFmtId="0" fontId="52" fillId="0" borderId="0" xfId="0" applyFont="1" applyAlignment="1">
      <alignment horizontal="center" wrapText="1"/>
    </xf>
    <xf numFmtId="179" fontId="82" fillId="0" borderId="173" xfId="0" applyNumberFormat="1" applyFont="1" applyBorder="1" applyAlignment="1">
      <alignment horizontal="center"/>
    </xf>
    <xf numFmtId="0" fontId="82" fillId="0" borderId="178" xfId="0" applyFont="1" applyBorder="1" applyAlignment="1">
      <alignment horizontal="center"/>
    </xf>
    <xf numFmtId="0" fontId="44" fillId="9" borderId="4" xfId="0" applyFont="1" applyFill="1" applyBorder="1"/>
    <xf numFmtId="0" fontId="82" fillId="0" borderId="179" xfId="0" applyFont="1" applyBorder="1" applyAlignment="1">
      <alignment horizontal="center"/>
    </xf>
    <xf numFmtId="0" fontId="82" fillId="0" borderId="179" xfId="0" applyFont="1" applyBorder="1"/>
    <xf numFmtId="9" fontId="82" fillId="0" borderId="179" xfId="0" applyNumberFormat="1" applyFont="1" applyBorder="1"/>
    <xf numFmtId="168" fontId="44" fillId="9" borderId="4" xfId="0" applyNumberFormat="1" applyFont="1" applyFill="1" applyBorder="1"/>
    <xf numFmtId="0" fontId="48" fillId="0" borderId="0" xfId="0" applyFont="1" applyAlignment="1">
      <alignment horizontal="center"/>
    </xf>
    <xf numFmtId="0" fontId="82" fillId="0" borderId="180" xfId="0" applyFont="1" applyBorder="1"/>
    <xf numFmtId="0" fontId="48" fillId="0" borderId="111" xfId="0" applyFont="1" applyBorder="1"/>
    <xf numFmtId="0" fontId="48" fillId="0" borderId="0" xfId="0" applyFont="1" applyAlignment="1">
      <alignment horizontal="left"/>
    </xf>
    <xf numFmtId="164" fontId="86" fillId="12" borderId="4" xfId="0" applyNumberFormat="1" applyFont="1" applyFill="1" applyBorder="1" applyAlignment="1">
      <alignment horizontal="center"/>
    </xf>
    <xf numFmtId="166" fontId="48" fillId="0" borderId="4" xfId="0" applyNumberFormat="1" applyFont="1" applyBorder="1" applyAlignment="1">
      <alignment horizontal="center"/>
    </xf>
    <xf numFmtId="0" fontId="44" fillId="14" borderId="4" xfId="0" applyFont="1" applyFill="1" applyBorder="1"/>
    <xf numFmtId="168" fontId="48" fillId="0" borderId="4" xfId="0" applyNumberFormat="1" applyFont="1" applyBorder="1"/>
    <xf numFmtId="168" fontId="44" fillId="14" borderId="4" xfId="0" applyNumberFormat="1" applyFont="1" applyFill="1" applyBorder="1"/>
    <xf numFmtId="167" fontId="48" fillId="0" borderId="78" xfId="0" applyNumberFormat="1" applyFont="1" applyBorder="1"/>
    <xf numFmtId="172" fontId="48" fillId="0" borderId="4" xfId="0" applyNumberFormat="1" applyFont="1" applyBorder="1"/>
    <xf numFmtId="0" fontId="44" fillId="0" borderId="4" xfId="0" applyFont="1" applyBorder="1" applyAlignment="1">
      <alignment horizontal="left" wrapText="1"/>
    </xf>
    <xf numFmtId="0" fontId="62" fillId="4" borderId="4" xfId="0" applyFont="1" applyFill="1" applyBorder="1"/>
    <xf numFmtId="164" fontId="7" fillId="12" borderId="4" xfId="0" applyNumberFormat="1" applyFont="1" applyFill="1" applyBorder="1" applyAlignment="1">
      <alignment horizontal="center"/>
    </xf>
    <xf numFmtId="168" fontId="44" fillId="4" borderId="4" xfId="0" applyNumberFormat="1" applyFont="1" applyFill="1" applyBorder="1"/>
    <xf numFmtId="3" fontId="7" fillId="0" borderId="0" xfId="0" applyNumberFormat="1" applyFont="1" applyAlignment="1">
      <alignment horizontal="center"/>
    </xf>
    <xf numFmtId="166" fontId="48" fillId="0" borderId="32" xfId="0" applyNumberFormat="1" applyFont="1" applyBorder="1" applyAlignment="1">
      <alignment horizontal="center"/>
    </xf>
    <xf numFmtId="168" fontId="48" fillId="0" borderId="0" xfId="0" applyNumberFormat="1" applyFont="1"/>
    <xf numFmtId="167" fontId="48" fillId="0" borderId="32" xfId="0" applyNumberFormat="1" applyFont="1" applyBorder="1"/>
    <xf numFmtId="172" fontId="48" fillId="0" borderId="0" xfId="0" applyNumberFormat="1" applyFont="1"/>
    <xf numFmtId="166" fontId="48" fillId="0" borderId="5" xfId="0" applyNumberFormat="1" applyFont="1" applyBorder="1" applyAlignment="1">
      <alignment horizontal="center"/>
    </xf>
    <xf numFmtId="164" fontId="7" fillId="0" borderId="0" xfId="0" applyNumberFormat="1" applyFont="1" applyAlignment="1">
      <alignment horizontal="center"/>
    </xf>
    <xf numFmtId="166" fontId="48" fillId="0" borderId="78" xfId="0" applyNumberFormat="1" applyFont="1" applyBorder="1" applyAlignment="1">
      <alignment horizontal="center"/>
    </xf>
    <xf numFmtId="168" fontId="47" fillId="0" borderId="89" xfId="0" applyNumberFormat="1" applyFont="1" applyBorder="1"/>
    <xf numFmtId="167" fontId="47" fillId="0" borderId="89" xfId="0" applyNumberFormat="1" applyFont="1" applyBorder="1"/>
    <xf numFmtId="172" fontId="47" fillId="0" borderId="89" xfId="0" applyNumberFormat="1" applyFont="1" applyBorder="1"/>
    <xf numFmtId="0" fontId="47" fillId="0" borderId="6" xfId="0" applyFont="1" applyBorder="1"/>
    <xf numFmtId="0" fontId="7" fillId="0" borderId="6" xfId="0" applyFont="1" applyBorder="1" applyAlignment="1">
      <alignment horizontal="center"/>
    </xf>
    <xf numFmtId="0" fontId="48" fillId="0" borderId="6" xfId="0" applyFont="1" applyBorder="1" applyAlignment="1">
      <alignment horizontal="center"/>
    </xf>
    <xf numFmtId="168" fontId="47" fillId="0" borderId="6" xfId="0" applyNumberFormat="1" applyFont="1" applyBorder="1"/>
    <xf numFmtId="0" fontId="47" fillId="0" borderId="6" xfId="0" applyFont="1" applyBorder="1" applyAlignment="1">
      <alignment horizontal="center"/>
    </xf>
    <xf numFmtId="167" fontId="47" fillId="0" borderId="6" xfId="0" applyNumberFormat="1" applyFont="1" applyBorder="1"/>
    <xf numFmtId="172" fontId="47" fillId="0" borderId="6" xfId="0" applyNumberFormat="1" applyFont="1" applyBorder="1"/>
    <xf numFmtId="0" fontId="7" fillId="12" borderId="1" xfId="0" applyFont="1" applyFill="1" applyBorder="1" applyAlignment="1">
      <alignment horizontal="center"/>
    </xf>
    <xf numFmtId="0" fontId="48" fillId="12" borderId="1" xfId="0" applyFont="1" applyFill="1" applyBorder="1" applyAlignment="1">
      <alignment horizontal="center"/>
    </xf>
    <xf numFmtId="168" fontId="47" fillId="0" borderId="0" xfId="0" applyNumberFormat="1" applyFont="1"/>
    <xf numFmtId="167" fontId="47" fillId="0" borderId="0" xfId="0" applyNumberFormat="1" applyFont="1"/>
    <xf numFmtId="172" fontId="47" fillId="0" borderId="0" xfId="0" applyNumberFormat="1" applyFont="1"/>
    <xf numFmtId="0" fontId="47" fillId="0" borderId="0" xfId="0" applyFont="1" applyAlignment="1">
      <alignment horizontal="center" vertical="center" wrapText="1"/>
    </xf>
    <xf numFmtId="0" fontId="54" fillId="0" borderId="0" xfId="0" applyFont="1" applyAlignment="1">
      <alignment vertical="center"/>
    </xf>
    <xf numFmtId="0" fontId="87" fillId="19" borderId="4" xfId="0" applyFont="1" applyFill="1" applyBorder="1"/>
    <xf numFmtId="0" fontId="3" fillId="19" borderId="4" xfId="0" applyFont="1" applyFill="1" applyBorder="1"/>
    <xf numFmtId="0" fontId="52" fillId="0" borderId="0" xfId="0" applyFont="1"/>
    <xf numFmtId="0" fontId="56" fillId="0" borderId="0" xfId="0" applyFont="1" applyAlignment="1">
      <alignment vertical="center"/>
    </xf>
    <xf numFmtId="0" fontId="56" fillId="0" borderId="0" xfId="0" applyFont="1" applyAlignment="1">
      <alignment horizontal="center" vertical="center"/>
    </xf>
    <xf numFmtId="172" fontId="63" fillId="0" borderId="0" xfId="0" applyNumberFormat="1" applyFont="1" applyAlignment="1">
      <alignment horizontal="center" vertical="center" wrapText="1"/>
    </xf>
    <xf numFmtId="0" fontId="48" fillId="0" borderId="0" xfId="0" applyFont="1" applyAlignment="1">
      <alignment horizontal="center" vertical="center" wrapText="1"/>
    </xf>
    <xf numFmtId="0" fontId="88" fillId="20" borderId="4" xfId="0" applyFont="1" applyFill="1" applyBorder="1" applyAlignment="1">
      <alignment horizontal="center" wrapText="1"/>
    </xf>
    <xf numFmtId="0" fontId="3" fillId="20" borderId="4" xfId="0" applyFont="1" applyFill="1" applyBorder="1"/>
    <xf numFmtId="164" fontId="48" fillId="18" borderId="188" xfId="0" applyNumberFormat="1" applyFont="1" applyFill="1" applyBorder="1" applyAlignment="1">
      <alignment horizontal="center"/>
    </xf>
    <xf numFmtId="3" fontId="48" fillId="0" borderId="4" xfId="0" applyNumberFormat="1" applyFont="1" applyBorder="1" applyAlignment="1">
      <alignment horizontal="center"/>
    </xf>
    <xf numFmtId="0" fontId="19" fillId="7" borderId="189" xfId="0" applyFont="1" applyFill="1" applyBorder="1"/>
    <xf numFmtId="168" fontId="48" fillId="0" borderId="4" xfId="0" applyNumberFormat="1" applyFont="1" applyBorder="1" applyAlignment="1">
      <alignment horizontal="center"/>
    </xf>
    <xf numFmtId="0" fontId="19" fillId="7" borderId="190" xfId="0" applyFont="1" applyFill="1" applyBorder="1"/>
    <xf numFmtId="0" fontId="23" fillId="7" borderId="190" xfId="0" applyFont="1" applyFill="1" applyBorder="1"/>
    <xf numFmtId="2" fontId="48" fillId="0" borderId="5" xfId="0" applyNumberFormat="1" applyFont="1" applyBorder="1" applyAlignment="1">
      <alignment horizontal="center"/>
    </xf>
    <xf numFmtId="0" fontId="48" fillId="0" borderId="191" xfId="0" applyFont="1" applyBorder="1" applyAlignment="1">
      <alignment horizontal="center" vertical="center"/>
    </xf>
    <xf numFmtId="0" fontId="89" fillId="0" borderId="4" xfId="0" applyFont="1" applyBorder="1" applyAlignment="1">
      <alignment horizontal="right" wrapText="1"/>
    </xf>
    <xf numFmtId="172" fontId="48" fillId="0" borderId="4" xfId="0" applyNumberFormat="1" applyFont="1" applyBorder="1" applyAlignment="1">
      <alignment horizontal="center" vertical="center"/>
    </xf>
    <xf numFmtId="3" fontId="90" fillId="21" borderId="4" xfId="0" applyNumberFormat="1" applyFont="1" applyFill="1" applyBorder="1" applyAlignment="1">
      <alignment horizontal="center" wrapText="1"/>
    </xf>
    <xf numFmtId="0" fontId="19" fillId="0" borderId="4" xfId="0" applyFont="1" applyBorder="1" applyAlignment="1">
      <alignment horizontal="right" wrapText="1"/>
    </xf>
    <xf numFmtId="188" fontId="19" fillId="0" borderId="0" xfId="0" applyNumberFormat="1" applyFont="1"/>
    <xf numFmtId="168" fontId="7" fillId="0" borderId="4" xfId="0" applyNumberFormat="1" applyFont="1" applyBorder="1" applyAlignment="1">
      <alignment horizontal="center"/>
    </xf>
    <xf numFmtId="172" fontId="7" fillId="0" borderId="4" xfId="0" applyNumberFormat="1" applyFont="1" applyBorder="1" applyAlignment="1">
      <alignment horizontal="right"/>
    </xf>
    <xf numFmtId="4" fontId="19" fillId="0" borderId="4" xfId="0" applyNumberFormat="1" applyFont="1" applyBorder="1" applyAlignment="1">
      <alignment horizontal="center" wrapText="1"/>
    </xf>
    <xf numFmtId="0" fontId="48" fillId="0" borderId="138" xfId="0" applyFont="1" applyBorder="1" applyAlignment="1">
      <alignment horizontal="center"/>
    </xf>
    <xf numFmtId="189" fontId="50" fillId="0" borderId="4" xfId="0" applyNumberFormat="1" applyFont="1" applyBorder="1" applyAlignment="1">
      <alignment horizontal="center" wrapText="1"/>
    </xf>
    <xf numFmtId="11" fontId="19" fillId="0" borderId="0" xfId="0" applyNumberFormat="1" applyFont="1"/>
    <xf numFmtId="0" fontId="3" fillId="0" borderId="192" xfId="0" applyFont="1" applyBorder="1"/>
    <xf numFmtId="0" fontId="92" fillId="20" borderId="4" xfId="0" applyFont="1" applyFill="1" applyBorder="1"/>
    <xf numFmtId="0" fontId="44" fillId="16" borderId="4" xfId="0" applyFont="1" applyFill="1" applyBorder="1" applyAlignment="1">
      <alignment horizontal="center" wrapText="1"/>
    </xf>
    <xf numFmtId="0" fontId="3" fillId="16" borderId="4" xfId="0" applyFont="1" applyFill="1" applyBorder="1"/>
    <xf numFmtId="189" fontId="3" fillId="0" borderId="4" xfId="0" applyNumberFormat="1" applyFont="1" applyBorder="1" applyAlignment="1">
      <alignment horizontal="center"/>
    </xf>
    <xf numFmtId="0" fontId="45" fillId="0" borderId="4" xfId="0" applyFont="1" applyBorder="1" applyAlignment="1">
      <alignment horizontal="right" wrapText="1"/>
    </xf>
    <xf numFmtId="0" fontId="45" fillId="0" borderId="4" xfId="0" applyFont="1" applyBorder="1" applyAlignment="1">
      <alignment wrapText="1"/>
    </xf>
    <xf numFmtId="0" fontId="2" fillId="6" borderId="4" xfId="0" applyFont="1" applyFill="1" applyBorder="1" applyAlignment="1">
      <alignment horizontal="right" wrapText="1"/>
    </xf>
    <xf numFmtId="0" fontId="2" fillId="0" borderId="4" xfId="0" applyFont="1" applyBorder="1" applyAlignment="1">
      <alignment horizontal="right" wrapText="1"/>
    </xf>
    <xf numFmtId="3" fontId="2" fillId="0" borderId="4" xfId="0" applyNumberFormat="1" applyFont="1" applyBorder="1" applyAlignment="1">
      <alignment horizontal="right" wrapText="1"/>
    </xf>
    <xf numFmtId="189" fontId="2" fillId="0" borderId="5" xfId="0" applyNumberFormat="1" applyFont="1" applyBorder="1" applyAlignment="1">
      <alignment horizontal="center" wrapText="1"/>
    </xf>
    <xf numFmtId="0" fontId="23" fillId="7" borderId="1" xfId="0" applyFont="1" applyFill="1" applyBorder="1"/>
    <xf numFmtId="3" fontId="48" fillId="0" borderId="32" xfId="0" applyNumberFormat="1" applyFont="1" applyBorder="1" applyAlignment="1">
      <alignment horizontal="center"/>
    </xf>
    <xf numFmtId="3" fontId="48" fillId="0" borderId="0" xfId="0" applyNumberFormat="1" applyFont="1" applyAlignment="1">
      <alignment horizontal="center"/>
    </xf>
    <xf numFmtId="3" fontId="2" fillId="0" borderId="2" xfId="0" applyNumberFormat="1" applyFont="1" applyBorder="1" applyAlignment="1">
      <alignment horizontal="right" wrapText="1"/>
    </xf>
    <xf numFmtId="166" fontId="48" fillId="0" borderId="0" xfId="0" applyNumberFormat="1" applyFont="1" applyAlignment="1">
      <alignment horizontal="center"/>
    </xf>
    <xf numFmtId="168" fontId="23" fillId="7" borderId="1" xfId="0" applyNumberFormat="1" applyFont="1" applyFill="1" applyBorder="1"/>
    <xf numFmtId="168" fontId="48" fillId="0" borderId="32" xfId="0" applyNumberFormat="1" applyFont="1" applyBorder="1" applyAlignment="1">
      <alignment horizontal="center"/>
    </xf>
    <xf numFmtId="189" fontId="2" fillId="0" borderId="4" xfId="0" applyNumberFormat="1" applyFont="1" applyBorder="1" applyAlignment="1">
      <alignment horizontal="center" wrapText="1"/>
    </xf>
    <xf numFmtId="3" fontId="23" fillId="7" borderId="1" xfId="0" applyNumberFormat="1" applyFont="1" applyFill="1" applyBorder="1"/>
    <xf numFmtId="0" fontId="9" fillId="0" borderId="0" xfId="0" applyFont="1"/>
    <xf numFmtId="2" fontId="48" fillId="0" borderId="32" xfId="0" applyNumberFormat="1" applyFont="1" applyBorder="1" applyAlignment="1">
      <alignment horizontal="center"/>
    </xf>
    <xf numFmtId="168" fontId="48" fillId="0" borderId="0" xfId="0" applyNumberFormat="1" applyFont="1" applyAlignment="1">
      <alignment horizontal="center"/>
    </xf>
    <xf numFmtId="189" fontId="93" fillId="0" borderId="193" xfId="0" applyNumberFormat="1" applyFont="1" applyBorder="1" applyAlignment="1">
      <alignment horizontal="center"/>
    </xf>
    <xf numFmtId="172" fontId="7" fillId="0" borderId="0" xfId="0" applyNumberFormat="1" applyFont="1" applyAlignment="1">
      <alignment horizontal="right"/>
    </xf>
    <xf numFmtId="164" fontId="48" fillId="18" borderId="147" xfId="0" applyNumberFormat="1" applyFont="1" applyFill="1" applyBorder="1" applyAlignment="1">
      <alignment horizontal="center"/>
    </xf>
    <xf numFmtId="169" fontId="19" fillId="0" borderId="6" xfId="0" applyNumberFormat="1" applyFont="1" applyBorder="1"/>
    <xf numFmtId="0" fontId="19" fillId="0" borderId="35" xfId="0" applyFont="1" applyBorder="1"/>
    <xf numFmtId="2" fontId="48" fillId="0" borderId="78" xfId="0" applyNumberFormat="1" applyFont="1" applyBorder="1" applyAlignment="1">
      <alignment horizontal="center"/>
    </xf>
    <xf numFmtId="0" fontId="23" fillId="18" borderId="139" xfId="0" applyFont="1" applyFill="1" applyBorder="1"/>
    <xf numFmtId="11" fontId="19" fillId="6" borderId="1" xfId="0" applyNumberFormat="1" applyFont="1" applyFill="1" applyBorder="1"/>
    <xf numFmtId="171" fontId="48" fillId="0" borderId="0" xfId="0" applyNumberFormat="1" applyFont="1" applyAlignment="1">
      <alignment horizontal="center"/>
    </xf>
    <xf numFmtId="3" fontId="23" fillId="0" borderId="0" xfId="0" applyNumberFormat="1" applyFont="1"/>
    <xf numFmtId="2" fontId="48" fillId="0" borderId="4" xfId="0" applyNumberFormat="1" applyFont="1" applyBorder="1" applyAlignment="1">
      <alignment horizontal="center"/>
    </xf>
    <xf numFmtId="0" fontId="19" fillId="7" borderId="139" xfId="0" applyFont="1" applyFill="1" applyBorder="1"/>
    <xf numFmtId="175" fontId="19" fillId="7" borderId="1" xfId="0" applyNumberFormat="1" applyFont="1" applyFill="1" applyBorder="1"/>
    <xf numFmtId="164" fontId="48" fillId="18" borderId="4" xfId="0" applyNumberFormat="1" applyFont="1" applyFill="1" applyBorder="1" applyAlignment="1">
      <alignment horizontal="center"/>
    </xf>
    <xf numFmtId="4" fontId="17" fillId="0" borderId="0" xfId="0" applyNumberFormat="1" applyFont="1"/>
    <xf numFmtId="189" fontId="17" fillId="0" borderId="0" xfId="0" applyNumberFormat="1" applyFont="1"/>
    <xf numFmtId="3" fontId="17" fillId="0" borderId="0" xfId="0" applyNumberFormat="1" applyFont="1"/>
    <xf numFmtId="4" fontId="23" fillId="0" borderId="0" xfId="0" applyNumberFormat="1" applyFont="1"/>
    <xf numFmtId="189" fontId="23" fillId="0" borderId="0" xfId="0" applyNumberFormat="1" applyFont="1"/>
    <xf numFmtId="0" fontId="23" fillId="14" borderId="139" xfId="0" applyFont="1" applyFill="1" applyBorder="1"/>
    <xf numFmtId="164" fontId="48" fillId="18" borderId="194" xfId="0" applyNumberFormat="1" applyFont="1" applyFill="1" applyBorder="1" applyAlignment="1">
      <alignment horizontal="center"/>
    </xf>
    <xf numFmtId="189" fontId="23" fillId="14" borderId="1" xfId="0" applyNumberFormat="1" applyFont="1" applyFill="1" applyBorder="1"/>
    <xf numFmtId="190" fontId="23" fillId="14" borderId="1" xfId="0" applyNumberFormat="1" applyFont="1" applyFill="1" applyBorder="1"/>
    <xf numFmtId="0" fontId="8" fillId="0" borderId="4" xfId="0" applyFont="1" applyBorder="1"/>
    <xf numFmtId="0" fontId="4" fillId="0" borderId="4" xfId="0" applyFont="1" applyBorder="1" applyAlignment="1">
      <alignment vertical="top"/>
    </xf>
    <xf numFmtId="0" fontId="4" fillId="22" borderId="1" xfId="0" applyFont="1" applyFill="1" applyBorder="1"/>
    <xf numFmtId="0" fontId="4" fillId="14" borderId="1" xfId="0" applyFont="1" applyFill="1" applyBorder="1"/>
    <xf numFmtId="49" fontId="4" fillId="0" borderId="0" xfId="0" applyNumberFormat="1" applyFont="1"/>
    <xf numFmtId="3" fontId="48" fillId="0" borderId="195" xfId="0" applyNumberFormat="1" applyFont="1" applyBorder="1" applyAlignment="1">
      <alignment horizontal="center"/>
    </xf>
    <xf numFmtId="168" fontId="48" fillId="0" borderId="195" xfId="0" applyNumberFormat="1" applyFont="1" applyBorder="1" applyAlignment="1">
      <alignment horizontal="center"/>
    </xf>
    <xf numFmtId="2" fontId="48" fillId="0" borderId="195" xfId="0" applyNumberFormat="1" applyFont="1" applyBorder="1" applyAlignment="1">
      <alignment horizontal="center"/>
    </xf>
    <xf numFmtId="172" fontId="48" fillId="0" borderId="0" xfId="0" applyNumberFormat="1" applyFont="1" applyAlignment="1">
      <alignment horizontal="center"/>
    </xf>
    <xf numFmtId="0" fontId="94" fillId="0" borderId="69" xfId="0" applyFont="1" applyBorder="1" applyAlignment="1">
      <alignment horizontal="center"/>
    </xf>
    <xf numFmtId="0" fontId="94" fillId="0" borderId="70" xfId="0" applyFont="1" applyBorder="1" applyAlignment="1">
      <alignment horizontal="center"/>
    </xf>
    <xf numFmtId="0" fontId="94" fillId="0" borderId="70" xfId="0" applyFont="1" applyBorder="1" applyAlignment="1">
      <alignment horizontal="center" wrapText="1"/>
    </xf>
    <xf numFmtId="49" fontId="94" fillId="0" borderId="70" xfId="0" applyNumberFormat="1" applyFont="1" applyBorder="1" applyAlignment="1">
      <alignment horizontal="center" wrapText="1"/>
    </xf>
    <xf numFmtId="3" fontId="95" fillId="2" borderId="196" xfId="0" applyNumberFormat="1" applyFont="1" applyFill="1" applyBorder="1" applyAlignment="1">
      <alignment horizontal="center"/>
    </xf>
    <xf numFmtId="0" fontId="95" fillId="2" borderId="1" xfId="0" applyFont="1" applyFill="1" applyBorder="1" applyAlignment="1">
      <alignment horizontal="center"/>
    </xf>
    <xf numFmtId="0" fontId="95" fillId="2" borderId="196" xfId="0" applyFont="1" applyFill="1" applyBorder="1" applyAlignment="1">
      <alignment horizontal="center"/>
    </xf>
    <xf numFmtId="0" fontId="94" fillId="0" borderId="71" xfId="0" applyFont="1" applyBorder="1" applyAlignment="1">
      <alignment horizontal="center" wrapText="1"/>
    </xf>
    <xf numFmtId="168" fontId="95" fillId="2" borderId="196" xfId="0" applyNumberFormat="1" applyFont="1" applyFill="1" applyBorder="1" applyAlignment="1">
      <alignment horizontal="center"/>
    </xf>
    <xf numFmtId="2" fontId="95" fillId="2" borderId="196" xfId="0" applyNumberFormat="1" applyFont="1" applyFill="1" applyBorder="1" applyAlignment="1">
      <alignment horizontal="center"/>
    </xf>
    <xf numFmtId="172" fontId="95" fillId="2" borderId="196" xfId="0" applyNumberFormat="1" applyFont="1" applyFill="1" applyBorder="1" applyAlignment="1">
      <alignment horizontal="center" vertical="center"/>
    </xf>
    <xf numFmtId="49" fontId="19" fillId="0" borderId="4" xfId="0" applyNumberFormat="1" applyFont="1" applyBorder="1"/>
    <xf numFmtId="168" fontId="76" fillId="2" borderId="196" xfId="0" applyNumberFormat="1" applyFont="1" applyFill="1" applyBorder="1" applyAlignment="1">
      <alignment horizontal="center"/>
    </xf>
    <xf numFmtId="49" fontId="19" fillId="0" borderId="4" xfId="0" applyNumberFormat="1" applyFont="1" applyBorder="1" applyAlignment="1">
      <alignment horizontal="center"/>
    </xf>
    <xf numFmtId="172" fontId="76" fillId="2" borderId="196" xfId="0" applyNumberFormat="1" applyFont="1" applyFill="1" applyBorder="1" applyAlignment="1">
      <alignment horizontal="right"/>
    </xf>
    <xf numFmtId="0" fontId="50" fillId="0" borderId="62" xfId="0" applyFont="1" applyBorder="1"/>
    <xf numFmtId="0" fontId="19" fillId="22" borderId="4" xfId="0" applyFont="1" applyFill="1" applyBorder="1"/>
    <xf numFmtId="172" fontId="19" fillId="22" borderId="4" xfId="0" applyNumberFormat="1" applyFont="1" applyFill="1" applyBorder="1" applyAlignment="1">
      <alignment horizontal="right"/>
    </xf>
    <xf numFmtId="168" fontId="19" fillId="22" borderId="4" xfId="0" applyNumberFormat="1" applyFont="1" applyFill="1" applyBorder="1" applyAlignment="1">
      <alignment horizontal="right"/>
    </xf>
    <xf numFmtId="3" fontId="19" fillId="22" borderId="4" xfId="0" applyNumberFormat="1" applyFont="1" applyFill="1" applyBorder="1" applyAlignment="1">
      <alignment horizontal="center"/>
    </xf>
    <xf numFmtId="0" fontId="19" fillId="22" borderId="4" xfId="0" applyFont="1" applyFill="1" applyBorder="1" applyAlignment="1">
      <alignment horizontal="center"/>
    </xf>
    <xf numFmtId="1" fontId="19" fillId="22" borderId="4" xfId="0" applyNumberFormat="1" applyFont="1" applyFill="1" applyBorder="1" applyAlignment="1">
      <alignment horizontal="center"/>
    </xf>
    <xf numFmtId="3" fontId="19" fillId="22" borderId="4" xfId="0" applyNumberFormat="1" applyFont="1" applyFill="1" applyBorder="1" applyAlignment="1">
      <alignment horizontal="right"/>
    </xf>
    <xf numFmtId="9" fontId="19" fillId="22" borderId="4" xfId="0" applyNumberFormat="1" applyFont="1" applyFill="1" applyBorder="1" applyAlignment="1">
      <alignment horizontal="right"/>
    </xf>
    <xf numFmtId="3" fontId="19" fillId="22" borderId="81" xfId="0" applyNumberFormat="1" applyFont="1" applyFill="1" applyBorder="1" applyAlignment="1">
      <alignment horizontal="right"/>
    </xf>
    <xf numFmtId="172" fontId="19" fillId="0" borderId="4" xfId="0" applyNumberFormat="1" applyFont="1" applyBorder="1" applyAlignment="1">
      <alignment horizontal="right"/>
    </xf>
    <xf numFmtId="172" fontId="48" fillId="0" borderId="4" xfId="0" applyNumberFormat="1" applyFont="1" applyBorder="1" applyAlignment="1">
      <alignment horizontal="center"/>
    </xf>
    <xf numFmtId="168" fontId="19" fillId="0" borderId="4" xfId="0" applyNumberFormat="1" applyFont="1" applyBorder="1" applyAlignment="1">
      <alignment horizontal="right"/>
    </xf>
    <xf numFmtId="3" fontId="19" fillId="0" borderId="4" xfId="0" applyNumberFormat="1" applyFont="1" applyBorder="1" applyAlignment="1">
      <alignment horizontal="center"/>
    </xf>
    <xf numFmtId="1" fontId="19" fillId="0" borderId="4" xfId="0" applyNumberFormat="1" applyFont="1" applyBorder="1" applyAlignment="1">
      <alignment horizontal="center"/>
    </xf>
    <xf numFmtId="3" fontId="19" fillId="0" borderId="4" xfId="0" applyNumberFormat="1" applyFont="1" applyBorder="1" applyAlignment="1">
      <alignment horizontal="right"/>
    </xf>
    <xf numFmtId="9" fontId="19" fillId="0" borderId="4" xfId="0" applyNumberFormat="1" applyFont="1" applyBorder="1"/>
    <xf numFmtId="9" fontId="19" fillId="0" borderId="4" xfId="0" applyNumberFormat="1" applyFont="1" applyBorder="1" applyAlignment="1">
      <alignment horizontal="right"/>
    </xf>
    <xf numFmtId="3" fontId="19" fillId="0" borderId="81" xfId="0" applyNumberFormat="1" applyFont="1" applyBorder="1" applyAlignment="1">
      <alignment horizontal="right"/>
    </xf>
    <xf numFmtId="0" fontId="96" fillId="0" borderId="0" xfId="0" applyFont="1"/>
    <xf numFmtId="0" fontId="96" fillId="0" borderId="0" xfId="0" applyFont="1" applyAlignment="1">
      <alignment vertical="center"/>
    </xf>
    <xf numFmtId="172" fontId="19" fillId="0" borderId="4" xfId="0" applyNumberFormat="1" applyFont="1" applyBorder="1"/>
    <xf numFmtId="0" fontId="97" fillId="0" borderId="0" xfId="0" applyFont="1"/>
    <xf numFmtId="0" fontId="98" fillId="2" borderId="0" xfId="0" applyFont="1" applyFill="1" applyAlignment="1">
      <alignment vertical="center"/>
    </xf>
    <xf numFmtId="3" fontId="19" fillId="0" borderId="81" xfId="0" applyNumberFormat="1" applyFont="1" applyBorder="1"/>
    <xf numFmtId="0" fontId="99" fillId="2" borderId="0" xfId="0" applyFont="1" applyFill="1"/>
    <xf numFmtId="0" fontId="99" fillId="20" borderId="20" xfId="0" applyFont="1" applyFill="1" applyBorder="1"/>
    <xf numFmtId="0" fontId="99" fillId="20" borderId="53" xfId="0" applyFont="1" applyFill="1" applyBorder="1"/>
    <xf numFmtId="0" fontId="67" fillId="0" borderId="4" xfId="0" applyFont="1" applyBorder="1" applyAlignment="1">
      <alignment horizontal="center" wrapText="1"/>
    </xf>
    <xf numFmtId="0" fontId="49" fillId="0" borderId="4" xfId="0" applyFont="1" applyBorder="1" applyAlignment="1">
      <alignment horizontal="center" wrapText="1"/>
    </xf>
    <xf numFmtId="0" fontId="68" fillId="0" borderId="4" xfId="0" applyFont="1" applyBorder="1" applyAlignment="1">
      <alignment horizontal="center" wrapText="1"/>
    </xf>
    <xf numFmtId="0" fontId="4" fillId="0" borderId="4" xfId="0" applyFont="1" applyBorder="1"/>
    <xf numFmtId="0" fontId="67" fillId="0" borderId="42" xfId="0" applyFont="1" applyBorder="1" applyAlignment="1">
      <alignment horizontal="center" wrapText="1"/>
    </xf>
    <xf numFmtId="0" fontId="49" fillId="0" borderId="4" xfId="0" applyFont="1" applyBorder="1" applyAlignment="1">
      <alignment horizontal="center"/>
    </xf>
    <xf numFmtId="168" fontId="49" fillId="0" borderId="4" xfId="0" applyNumberFormat="1" applyFont="1" applyBorder="1"/>
    <xf numFmtId="167" fontId="49" fillId="0" borderId="4" xfId="0" applyNumberFormat="1" applyFont="1" applyBorder="1"/>
    <xf numFmtId="1" fontId="49" fillId="0" borderId="4" xfId="0" applyNumberFormat="1" applyFont="1" applyBorder="1"/>
    <xf numFmtId="173" fontId="49" fillId="0" borderId="4" xfId="0" applyNumberFormat="1" applyFont="1" applyBorder="1"/>
    <xf numFmtId="43" fontId="49" fillId="0" borderId="4" xfId="0" applyNumberFormat="1" applyFont="1" applyBorder="1"/>
    <xf numFmtId="10" fontId="49" fillId="0" borderId="4" xfId="0" applyNumberFormat="1" applyFont="1" applyBorder="1"/>
    <xf numFmtId="10" fontId="19" fillId="22" borderId="4" xfId="0" applyNumberFormat="1" applyFont="1" applyFill="1" applyBorder="1" applyAlignment="1">
      <alignment horizontal="right"/>
    </xf>
    <xf numFmtId="183" fontId="49" fillId="0" borderId="4" xfId="0" applyNumberFormat="1" applyFont="1" applyBorder="1"/>
    <xf numFmtId="0" fontId="17" fillId="0" borderId="0" xfId="0" applyFont="1" applyAlignment="1">
      <alignment horizontal="center"/>
    </xf>
    <xf numFmtId="0" fontId="49" fillId="0" borderId="4" xfId="0" applyFont="1" applyBorder="1"/>
    <xf numFmtId="168" fontId="47" fillId="0" borderId="89" xfId="0" applyNumberFormat="1" applyFont="1" applyBorder="1" applyAlignment="1">
      <alignment horizontal="center"/>
    </xf>
    <xf numFmtId="172" fontId="49" fillId="0" borderId="42" xfId="0" applyNumberFormat="1" applyFont="1" applyBorder="1"/>
    <xf numFmtId="168" fontId="52" fillId="0" borderId="89" xfId="0" applyNumberFormat="1" applyFont="1" applyBorder="1" applyAlignment="1">
      <alignment horizontal="center"/>
    </xf>
    <xf numFmtId="0" fontId="100" fillId="0" borderId="0" xfId="0" applyFont="1" applyAlignment="1">
      <alignment wrapText="1"/>
    </xf>
    <xf numFmtId="0" fontId="98" fillId="16" borderId="52" xfId="0" applyFont="1" applyFill="1" applyBorder="1" applyAlignment="1">
      <alignment vertical="center"/>
    </xf>
    <xf numFmtId="0" fontId="3" fillId="0" borderId="0" xfId="0" applyFont="1" applyAlignment="1">
      <alignment wrapText="1"/>
    </xf>
    <xf numFmtId="172" fontId="52" fillId="0" borderId="89" xfId="0" applyNumberFormat="1" applyFont="1" applyBorder="1" applyAlignment="1">
      <alignment horizontal="right"/>
    </xf>
    <xf numFmtId="0" fontId="99" fillId="16" borderId="20" xfId="0" applyFont="1" applyFill="1" applyBorder="1"/>
    <xf numFmtId="0" fontId="3" fillId="0" borderId="0" xfId="0" applyFont="1" applyAlignment="1">
      <alignment horizontal="left" wrapText="1"/>
    </xf>
    <xf numFmtId="0" fontId="3" fillId="0" borderId="170" xfId="0" applyFont="1" applyBorder="1"/>
    <xf numFmtId="0" fontId="99" fillId="16" borderId="53" xfId="0" applyFont="1" applyFill="1" applyBorder="1"/>
    <xf numFmtId="0" fontId="3" fillId="0" borderId="171" xfId="0" applyFont="1" applyBorder="1"/>
    <xf numFmtId="0" fontId="12" fillId="0" borderId="187" xfId="0" applyFont="1" applyBorder="1" applyAlignment="1">
      <alignment horizontal="center"/>
    </xf>
    <xf numFmtId="0" fontId="68" fillId="0" borderId="4" xfId="0" applyFont="1" applyBorder="1"/>
    <xf numFmtId="0" fontId="12" fillId="0" borderId="172" xfId="0" applyFont="1" applyBorder="1"/>
    <xf numFmtId="0" fontId="12" fillId="0" borderId="173" xfId="0" applyFont="1" applyBorder="1" applyAlignment="1">
      <alignment horizontal="center"/>
    </xf>
    <xf numFmtId="0" fontId="50" fillId="0" borderId="0" xfId="0" applyFont="1"/>
    <xf numFmtId="0" fontId="12" fillId="0" borderId="4" xfId="0" applyFont="1" applyBorder="1"/>
    <xf numFmtId="0" fontId="3" fillId="0" borderId="173" xfId="0" applyFont="1" applyBorder="1"/>
    <xf numFmtId="9" fontId="49" fillId="0" borderId="4" xfId="0" applyNumberFormat="1" applyFont="1" applyBorder="1"/>
    <xf numFmtId="188" fontId="49" fillId="0" borderId="4" xfId="0" applyNumberFormat="1" applyFont="1" applyBorder="1"/>
    <xf numFmtId="0" fontId="3" fillId="0" borderId="172" xfId="0" applyFont="1" applyBorder="1" applyAlignment="1">
      <alignment horizontal="center"/>
    </xf>
    <xf numFmtId="191" fontId="49" fillId="0" borderId="4" xfId="0" applyNumberFormat="1" applyFont="1" applyBorder="1"/>
    <xf numFmtId="0" fontId="3" fillId="0" borderId="4" xfId="0" applyFont="1" applyBorder="1" applyAlignment="1">
      <alignment horizontal="center"/>
    </xf>
    <xf numFmtId="164" fontId="52" fillId="0" borderId="0" xfId="0" applyNumberFormat="1" applyFont="1" applyAlignment="1">
      <alignment horizontal="center" wrapText="1"/>
    </xf>
    <xf numFmtId="0" fontId="12" fillId="0" borderId="172" xfId="0" applyFont="1" applyBorder="1" applyAlignment="1">
      <alignment horizontal="center"/>
    </xf>
    <xf numFmtId="0" fontId="3" fillId="0" borderId="4" xfId="0" applyFont="1" applyBorder="1" applyAlignment="1">
      <alignment horizontal="left"/>
    </xf>
    <xf numFmtId="2" fontId="49" fillId="0" borderId="4" xfId="0" applyNumberFormat="1" applyFont="1" applyBorder="1"/>
    <xf numFmtId="0" fontId="3" fillId="0" borderId="178" xfId="0" applyFont="1" applyBorder="1" applyAlignment="1">
      <alignment horizontal="center"/>
    </xf>
    <xf numFmtId="0" fontId="3" fillId="0" borderId="179" xfId="0" applyFont="1" applyBorder="1" applyAlignment="1">
      <alignment horizontal="center"/>
    </xf>
    <xf numFmtId="0" fontId="3" fillId="0" borderId="180" xfId="0" applyFont="1" applyBorder="1"/>
    <xf numFmtId="164" fontId="47" fillId="0" borderId="0" xfId="0" applyNumberFormat="1" applyFont="1" applyAlignment="1">
      <alignment horizontal="center" vertical="center" wrapText="1"/>
    </xf>
    <xf numFmtId="43" fontId="17" fillId="0" borderId="0" xfId="0" applyNumberFormat="1" applyFont="1"/>
    <xf numFmtId="172" fontId="49" fillId="0" borderId="4" xfId="0" applyNumberFormat="1" applyFont="1" applyBorder="1"/>
    <xf numFmtId="164" fontId="48" fillId="0" borderId="4" xfId="0" applyNumberFormat="1" applyFont="1" applyBorder="1" applyAlignment="1">
      <alignment horizontal="center"/>
    </xf>
    <xf numFmtId="0" fontId="98" fillId="16" borderId="7" xfId="0" applyFont="1" applyFill="1" applyBorder="1" applyAlignment="1">
      <alignment vertical="center"/>
    </xf>
    <xf numFmtId="0" fontId="99" fillId="16" borderId="125" xfId="0" applyFont="1" applyFill="1" applyBorder="1"/>
    <xf numFmtId="170" fontId="48" fillId="0" borderId="4" xfId="0" applyNumberFormat="1" applyFont="1" applyBorder="1" applyAlignment="1">
      <alignment horizontal="center"/>
    </xf>
    <xf numFmtId="0" fontId="99" fillId="16" borderId="8" xfId="0" applyFont="1" applyFill="1" applyBorder="1"/>
    <xf numFmtId="0" fontId="67" fillId="0" borderId="78" xfId="0" applyFont="1" applyBorder="1" applyAlignment="1">
      <alignment horizontal="center" wrapText="1"/>
    </xf>
    <xf numFmtId="0" fontId="47" fillId="0" borderId="78" xfId="0" applyFont="1" applyBorder="1" applyAlignment="1">
      <alignment horizontal="center" wrapText="1"/>
    </xf>
    <xf numFmtId="0" fontId="48" fillId="0" borderId="78" xfId="0" applyFont="1" applyBorder="1"/>
    <xf numFmtId="0" fontId="48" fillId="0" borderId="78" xfId="0" applyFont="1" applyBorder="1" applyAlignment="1">
      <alignment horizontal="center" wrapText="1"/>
    </xf>
    <xf numFmtId="164" fontId="48" fillId="0" borderId="32" xfId="0" applyNumberFormat="1" applyFont="1" applyBorder="1" applyAlignment="1">
      <alignment horizontal="center"/>
    </xf>
    <xf numFmtId="0" fontId="99" fillId="0" borderId="4" xfId="0" applyFont="1" applyBorder="1"/>
    <xf numFmtId="0" fontId="48" fillId="0" borderId="4" xfId="0" applyFont="1" applyBorder="1" applyAlignment="1">
      <alignment horizontal="center" vertical="top" wrapText="1"/>
    </xf>
    <xf numFmtId="0" fontId="48" fillId="0" borderId="4" xfId="0" applyFont="1" applyBorder="1" applyAlignment="1">
      <alignment horizontal="center" vertical="top"/>
    </xf>
    <xf numFmtId="172" fontId="19" fillId="22" borderId="4" xfId="0" applyNumberFormat="1" applyFont="1" applyFill="1" applyBorder="1"/>
    <xf numFmtId="168" fontId="49" fillId="0" borderId="4" xfId="0" applyNumberFormat="1" applyFont="1" applyBorder="1" applyAlignment="1">
      <alignment horizontal="center"/>
    </xf>
    <xf numFmtId="170" fontId="48" fillId="0" borderId="32" xfId="0" applyNumberFormat="1" applyFont="1" applyBorder="1" applyAlignment="1">
      <alignment horizontal="center"/>
    </xf>
    <xf numFmtId="172" fontId="49" fillId="0" borderId="4" xfId="0" applyNumberFormat="1" applyFont="1" applyBorder="1" applyAlignment="1">
      <alignment horizontal="center"/>
    </xf>
    <xf numFmtId="168" fontId="19" fillId="22" borderId="4" xfId="0" applyNumberFormat="1" applyFont="1" applyFill="1" applyBorder="1"/>
    <xf numFmtId="179" fontId="49" fillId="0" borderId="4" xfId="0" applyNumberFormat="1" applyFont="1" applyBorder="1"/>
    <xf numFmtId="0" fontId="101" fillId="23" borderId="197" xfId="0" applyFont="1" applyFill="1" applyBorder="1"/>
    <xf numFmtId="0" fontId="4" fillId="23" borderId="198" xfId="0" applyFont="1" applyFill="1" applyBorder="1"/>
    <xf numFmtId="0" fontId="4" fillId="23" borderId="199" xfId="0" applyFont="1" applyFill="1" applyBorder="1"/>
    <xf numFmtId="0" fontId="102" fillId="0" borderId="170" xfId="0" applyFont="1" applyBorder="1" applyAlignment="1">
      <alignment horizontal="center" wrapText="1"/>
    </xf>
    <xf numFmtId="0" fontId="103" fillId="0" borderId="171" xfId="0" applyFont="1" applyBorder="1" applyAlignment="1">
      <alignment horizontal="center" wrapText="1"/>
    </xf>
    <xf numFmtId="0" fontId="4" fillId="0" borderId="171" xfId="0" applyFont="1" applyBorder="1"/>
    <xf numFmtId="164" fontId="48" fillId="0" borderId="195" xfId="0" applyNumberFormat="1" applyFont="1" applyBorder="1" applyAlignment="1">
      <alignment horizontal="center"/>
    </xf>
    <xf numFmtId="0" fontId="103" fillId="0" borderId="187" xfId="0" applyFont="1" applyBorder="1" applyAlignment="1">
      <alignment horizontal="center" wrapText="1"/>
    </xf>
    <xf numFmtId="0" fontId="4" fillId="0" borderId="172" xfId="0" applyFont="1" applyBorder="1"/>
    <xf numFmtId="0" fontId="104" fillId="0" borderId="4" xfId="0" applyFont="1" applyBorder="1" applyAlignment="1">
      <alignment horizontal="center"/>
    </xf>
    <xf numFmtId="164" fontId="95" fillId="2" borderId="196" xfId="0" applyNumberFormat="1" applyFont="1" applyFill="1" applyBorder="1" applyAlignment="1">
      <alignment horizontal="center"/>
    </xf>
    <xf numFmtId="0" fontId="105" fillId="2" borderId="1" xfId="0" applyFont="1" applyFill="1" applyBorder="1"/>
    <xf numFmtId="168" fontId="95" fillId="2" borderId="1" xfId="0" applyNumberFormat="1" applyFont="1" applyFill="1" applyBorder="1"/>
    <xf numFmtId="0" fontId="104" fillId="0" borderId="173" xfId="0" applyFont="1" applyBorder="1" applyAlignment="1">
      <alignment horizontal="center"/>
    </xf>
    <xf numFmtId="0" fontId="102" fillId="0" borderId="172" xfId="0" applyFont="1" applyBorder="1" applyAlignment="1">
      <alignment horizontal="center"/>
    </xf>
    <xf numFmtId="43" fontId="102" fillId="0" borderId="4" xfId="0" applyNumberFormat="1" applyFont="1" applyBorder="1" applyAlignment="1">
      <alignment horizontal="center"/>
    </xf>
    <xf numFmtId="0" fontId="102" fillId="0" borderId="4" xfId="0" applyFont="1" applyBorder="1" applyAlignment="1">
      <alignment horizontal="center"/>
    </xf>
    <xf numFmtId="1" fontId="102" fillId="0" borderId="4" xfId="0" applyNumberFormat="1" applyFont="1" applyBorder="1" applyAlignment="1">
      <alignment horizontal="center"/>
    </xf>
    <xf numFmtId="168" fontId="102" fillId="0" borderId="4" xfId="0" applyNumberFormat="1" applyFont="1" applyBorder="1" applyAlignment="1">
      <alignment horizontal="right"/>
    </xf>
    <xf numFmtId="166" fontId="102" fillId="0" borderId="4" xfId="0" applyNumberFormat="1" applyFont="1" applyBorder="1" applyAlignment="1">
      <alignment horizontal="center"/>
    </xf>
    <xf numFmtId="9" fontId="102" fillId="0" borderId="4" xfId="0" applyNumberFormat="1" applyFont="1" applyBorder="1" applyAlignment="1">
      <alignment horizontal="center"/>
    </xf>
    <xf numFmtId="168" fontId="102" fillId="0" borderId="4" xfId="0" applyNumberFormat="1" applyFont="1" applyBorder="1" applyAlignment="1">
      <alignment horizontal="center"/>
    </xf>
    <xf numFmtId="0" fontId="102" fillId="0" borderId="4" xfId="0" quotePrefix="1" applyFont="1" applyBorder="1" applyAlignment="1">
      <alignment horizontal="center"/>
    </xf>
    <xf numFmtId="172" fontId="102" fillId="0" borderId="4" xfId="0" applyNumberFormat="1" applyFont="1" applyBorder="1" applyAlignment="1">
      <alignment horizontal="center"/>
    </xf>
    <xf numFmtId="174" fontId="102" fillId="0" borderId="173" xfId="0" applyNumberFormat="1" applyFont="1" applyBorder="1" applyAlignment="1">
      <alignment horizontal="center"/>
    </xf>
    <xf numFmtId="0" fontId="4" fillId="0" borderId="200" xfId="0" applyFont="1" applyBorder="1"/>
    <xf numFmtId="0" fontId="4" fillId="0" borderId="201" xfId="0" applyFont="1" applyBorder="1"/>
    <xf numFmtId="0" fontId="4" fillId="0" borderId="202" xfId="0" applyFont="1" applyBorder="1"/>
    <xf numFmtId="170" fontId="48" fillId="0" borderId="5" xfId="0" applyNumberFormat="1" applyFont="1" applyBorder="1" applyAlignment="1">
      <alignment horizontal="center"/>
    </xf>
    <xf numFmtId="3" fontId="17" fillId="0" borderId="0" xfId="0" applyNumberFormat="1" applyFont="1" applyAlignment="1">
      <alignment horizontal="center"/>
    </xf>
    <xf numFmtId="11" fontId="102" fillId="0" borderId="4" xfId="0" applyNumberFormat="1" applyFont="1" applyBorder="1" applyAlignment="1">
      <alignment horizontal="center"/>
    </xf>
    <xf numFmtId="170" fontId="47" fillId="0" borderId="89" xfId="0" applyNumberFormat="1" applyFont="1" applyBorder="1" applyAlignment="1">
      <alignment horizontal="center"/>
    </xf>
    <xf numFmtId="4" fontId="102" fillId="0" borderId="4" xfId="0" applyNumberFormat="1" applyFont="1" applyBorder="1" applyAlignment="1">
      <alignment horizontal="center"/>
    </xf>
    <xf numFmtId="170" fontId="47" fillId="0" borderId="4" xfId="0" applyNumberFormat="1" applyFont="1" applyBorder="1" applyAlignment="1">
      <alignment horizontal="center"/>
    </xf>
    <xf numFmtId="0" fontId="85" fillId="12" borderId="1" xfId="0" applyFont="1" applyFill="1" applyBorder="1" applyAlignment="1">
      <alignment horizontal="left"/>
    </xf>
    <xf numFmtId="0" fontId="49" fillId="4" borderId="1" xfId="0" applyFont="1" applyFill="1" applyBorder="1"/>
    <xf numFmtId="0" fontId="4" fillId="4" borderId="1" xfId="0" applyFont="1" applyFill="1" applyBorder="1"/>
    <xf numFmtId="0" fontId="19" fillId="2" borderId="4" xfId="0" applyFont="1" applyFill="1" applyBorder="1"/>
    <xf numFmtId="172" fontId="19" fillId="2" borderId="4" xfId="0" applyNumberFormat="1" applyFont="1" applyFill="1" applyBorder="1" applyAlignment="1">
      <alignment horizontal="right"/>
    </xf>
    <xf numFmtId="168" fontId="4" fillId="4" borderId="1" xfId="0" applyNumberFormat="1" applyFont="1" applyFill="1" applyBorder="1"/>
    <xf numFmtId="188" fontId="4" fillId="4" borderId="1" xfId="0" applyNumberFormat="1" applyFont="1" applyFill="1" applyBorder="1"/>
    <xf numFmtId="1" fontId="19" fillId="2" borderId="4" xfId="0" applyNumberFormat="1" applyFont="1" applyFill="1" applyBorder="1" applyAlignment="1">
      <alignment horizontal="center"/>
    </xf>
    <xf numFmtId="3" fontId="19" fillId="2" borderId="4" xfId="0" applyNumberFormat="1" applyFont="1" applyFill="1" applyBorder="1" applyAlignment="1">
      <alignment horizontal="right"/>
    </xf>
    <xf numFmtId="0" fontId="101" fillId="23" borderId="204" xfId="0" applyFont="1" applyFill="1" applyBorder="1"/>
    <xf numFmtId="9" fontId="19" fillId="2" borderId="4" xfId="0" applyNumberFormat="1" applyFont="1" applyFill="1" applyBorder="1"/>
    <xf numFmtId="0" fontId="4" fillId="23" borderId="205" xfId="0" applyFont="1" applyFill="1" applyBorder="1"/>
    <xf numFmtId="3" fontId="19" fillId="2" borderId="4" xfId="0" applyNumberFormat="1" applyFont="1" applyFill="1" applyBorder="1"/>
    <xf numFmtId="0" fontId="106" fillId="0" borderId="0" xfId="0" applyFont="1" applyAlignment="1">
      <alignment wrapText="1"/>
    </xf>
    <xf numFmtId="9" fontId="19" fillId="2" borderId="4" xfId="0" applyNumberFormat="1" applyFont="1" applyFill="1" applyBorder="1" applyAlignment="1">
      <alignment horizontal="right"/>
    </xf>
    <xf numFmtId="0" fontId="4" fillId="23" borderId="206" xfId="0" applyFont="1" applyFill="1" applyBorder="1"/>
    <xf numFmtId="3" fontId="19" fillId="2" borderId="81" xfId="0" applyNumberFormat="1" applyFont="1" applyFill="1" applyBorder="1" applyAlignment="1">
      <alignment horizontal="right"/>
    </xf>
    <xf numFmtId="0" fontId="4" fillId="0" borderId="137" xfId="0" applyFont="1" applyBorder="1" applyAlignment="1">
      <alignment horizontal="center" wrapText="1"/>
    </xf>
    <xf numFmtId="0" fontId="4" fillId="0" borderId="0" xfId="0" applyFont="1" applyAlignment="1">
      <alignment horizontal="center" wrapText="1"/>
    </xf>
    <xf numFmtId="0" fontId="107" fillId="0" borderId="0" xfId="0" applyFont="1"/>
    <xf numFmtId="188" fontId="49" fillId="0" borderId="0" xfId="0" applyNumberFormat="1" applyFont="1" applyAlignment="1">
      <alignment horizontal="center" wrapText="1"/>
    </xf>
    <xf numFmtId="0" fontId="4" fillId="0" borderId="210" xfId="0" applyFont="1" applyBorder="1"/>
    <xf numFmtId="0" fontId="103" fillId="0" borderId="78" xfId="0" applyFont="1" applyBorder="1" applyAlignment="1">
      <alignment horizontal="center" wrapText="1"/>
    </xf>
    <xf numFmtId="0" fontId="4" fillId="0" borderId="78" xfId="0" applyFont="1" applyBorder="1"/>
    <xf numFmtId="0" fontId="4" fillId="0" borderId="0" xfId="0" applyFont="1" applyAlignment="1">
      <alignment vertical="center" wrapText="1"/>
    </xf>
    <xf numFmtId="0" fontId="4" fillId="0" borderId="0" xfId="0" applyFont="1" applyAlignment="1">
      <alignment horizontal="left" wrapText="1"/>
    </xf>
    <xf numFmtId="0" fontId="4" fillId="0" borderId="211" xfId="0" applyFont="1" applyBorder="1"/>
    <xf numFmtId="168" fontId="4" fillId="13" borderId="212" xfId="0" applyNumberFormat="1" applyFont="1" applyFill="1" applyBorder="1" applyAlignment="1">
      <alignment horizontal="center" vertical="center" wrapText="1"/>
    </xf>
    <xf numFmtId="0" fontId="104" fillId="0" borderId="5" xfId="0" applyFont="1" applyBorder="1" applyAlignment="1">
      <alignment horizontal="center"/>
    </xf>
    <xf numFmtId="0" fontId="49" fillId="0" borderId="84" xfId="0" applyFont="1" applyBorder="1" applyAlignment="1">
      <alignment wrapText="1"/>
    </xf>
    <xf numFmtId="0" fontId="88" fillId="0" borderId="5" xfId="0" quotePrefix="1" applyFont="1" applyBorder="1" applyAlignment="1">
      <alignment horizontal="center"/>
    </xf>
    <xf numFmtId="167" fontId="4" fillId="0" borderId="213" xfId="0" applyNumberFormat="1" applyFont="1" applyBorder="1"/>
    <xf numFmtId="0" fontId="4" fillId="0" borderId="213" xfId="0" applyFont="1" applyBorder="1"/>
    <xf numFmtId="0" fontId="102" fillId="0" borderId="214" xfId="0" applyFont="1" applyBorder="1" applyAlignment="1">
      <alignment horizontal="center"/>
    </xf>
    <xf numFmtId="168" fontId="4" fillId="0" borderId="213" xfId="0" applyNumberFormat="1" applyFont="1" applyBorder="1" applyAlignment="1">
      <alignment horizontal="center"/>
    </xf>
    <xf numFmtId="168" fontId="49" fillId="0" borderId="213" xfId="0" applyNumberFormat="1" applyFont="1" applyBorder="1" applyAlignment="1">
      <alignment horizontal="center" wrapText="1"/>
    </xf>
    <xf numFmtId="37" fontId="102" fillId="0" borderId="4" xfId="0" applyNumberFormat="1" applyFont="1" applyBorder="1" applyAlignment="1">
      <alignment horizontal="center"/>
    </xf>
    <xf numFmtId="0" fontId="4" fillId="0" borderId="213" xfId="0" applyFont="1" applyBorder="1" applyAlignment="1">
      <alignment horizontal="center"/>
    </xf>
    <xf numFmtId="3" fontId="49" fillId="0" borderId="4" xfId="0" applyNumberFormat="1" applyFont="1" applyBorder="1" applyAlignment="1">
      <alignment horizontal="center"/>
    </xf>
    <xf numFmtId="171" fontId="102" fillId="0" borderId="4" xfId="0" applyNumberFormat="1" applyFont="1" applyBorder="1" applyAlignment="1">
      <alignment horizontal="center"/>
    </xf>
    <xf numFmtId="0" fontId="49" fillId="0" borderId="0" xfId="0" applyFont="1" applyAlignment="1">
      <alignment horizontal="right"/>
    </xf>
    <xf numFmtId="0" fontId="19" fillId="14" borderId="4" xfId="0" applyFont="1" applyFill="1" applyBorder="1"/>
    <xf numFmtId="172" fontId="19" fillId="14" borderId="4" xfId="0" applyNumberFormat="1" applyFont="1" applyFill="1" applyBorder="1"/>
    <xf numFmtId="188" fontId="49" fillId="0" borderId="89" xfId="0" applyNumberFormat="1" applyFont="1" applyBorder="1" applyAlignment="1">
      <alignment horizontal="center"/>
    </xf>
    <xf numFmtId="168" fontId="19" fillId="14" borderId="4" xfId="0" applyNumberFormat="1" applyFont="1" applyFill="1" applyBorder="1"/>
    <xf numFmtId="3" fontId="19" fillId="14" borderId="4" xfId="0" applyNumberFormat="1" applyFont="1" applyFill="1" applyBorder="1" applyAlignment="1">
      <alignment horizontal="center"/>
    </xf>
    <xf numFmtId="39" fontId="102" fillId="0" borderId="4" xfId="0" applyNumberFormat="1" applyFont="1" applyBorder="1" applyAlignment="1">
      <alignment horizontal="center"/>
    </xf>
    <xf numFmtId="0" fontId="19" fillId="14" borderId="4" xfId="0" applyFont="1" applyFill="1" applyBorder="1" applyAlignment="1">
      <alignment horizontal="center"/>
    </xf>
    <xf numFmtId="1" fontId="19" fillId="14" borderId="4" xfId="0" applyNumberFormat="1" applyFont="1" applyFill="1" applyBorder="1" applyAlignment="1">
      <alignment horizontal="center"/>
    </xf>
    <xf numFmtId="3" fontId="19" fillId="14" borderId="4" xfId="0" applyNumberFormat="1" applyFont="1" applyFill="1" applyBorder="1" applyAlignment="1">
      <alignment horizontal="right"/>
    </xf>
    <xf numFmtId="9" fontId="19" fillId="14" borderId="4" xfId="0" applyNumberFormat="1" applyFont="1" applyFill="1" applyBorder="1" applyAlignment="1">
      <alignment horizontal="right"/>
    </xf>
    <xf numFmtId="175" fontId="49" fillId="0" borderId="89" xfId="0" applyNumberFormat="1" applyFont="1" applyBorder="1" applyAlignment="1">
      <alignment horizontal="center"/>
    </xf>
    <xf numFmtId="168" fontId="4" fillId="13" borderId="212" xfId="0" applyNumberFormat="1" applyFont="1" applyFill="1" applyBorder="1" applyAlignment="1">
      <alignment horizontal="center" vertical="center"/>
    </xf>
    <xf numFmtId="0" fontId="4" fillId="0" borderId="84" xfId="0" applyFont="1" applyBorder="1"/>
    <xf numFmtId="167" fontId="4" fillId="0" borderId="215" xfId="0" applyNumberFormat="1" applyFont="1" applyBorder="1"/>
    <xf numFmtId="0" fontId="4" fillId="0" borderId="215" xfId="0" applyFont="1" applyBorder="1"/>
    <xf numFmtId="0" fontId="4" fillId="0" borderId="216" xfId="0" applyFont="1" applyBorder="1"/>
    <xf numFmtId="0" fontId="4" fillId="0" borderId="217" xfId="0" applyFont="1" applyBorder="1"/>
    <xf numFmtId="3" fontId="19" fillId="14" borderId="81" xfId="0" applyNumberFormat="1" applyFont="1" applyFill="1" applyBorder="1" applyAlignment="1">
      <alignment horizontal="right"/>
    </xf>
    <xf numFmtId="168" fontId="4" fillId="0" borderId="215" xfId="0" applyNumberFormat="1" applyFont="1" applyBorder="1" applyAlignment="1">
      <alignment horizontal="center"/>
    </xf>
    <xf numFmtId="0" fontId="4" fillId="0" borderId="215" xfId="0" applyFont="1" applyBorder="1" applyAlignment="1">
      <alignment horizontal="center"/>
    </xf>
    <xf numFmtId="2" fontId="102" fillId="0" borderId="4" xfId="0" applyNumberFormat="1" applyFont="1" applyBorder="1" applyAlignment="1">
      <alignment horizontal="center"/>
    </xf>
    <xf numFmtId="188" fontId="4" fillId="0" borderId="0" xfId="0" applyNumberFormat="1" applyFont="1"/>
    <xf numFmtId="172" fontId="19" fillId="14" borderId="4" xfId="0" applyNumberFormat="1" applyFont="1" applyFill="1" applyBorder="1" applyAlignment="1">
      <alignment horizontal="right"/>
    </xf>
    <xf numFmtId="168" fontId="19" fillId="14" borderId="4" xfId="0" applyNumberFormat="1" applyFont="1" applyFill="1" applyBorder="1" applyAlignment="1">
      <alignment horizontal="right"/>
    </xf>
    <xf numFmtId="0" fontId="62" fillId="0" borderId="89" xfId="0" applyFont="1" applyBorder="1"/>
    <xf numFmtId="0" fontId="44" fillId="0" borderId="89" xfId="0" applyFont="1" applyBorder="1"/>
    <xf numFmtId="179" fontId="44" fillId="0" borderId="89" xfId="0" applyNumberFormat="1" applyFont="1" applyBorder="1"/>
    <xf numFmtId="179" fontId="19" fillId="0" borderId="0" xfId="0" applyNumberFormat="1" applyFont="1"/>
    <xf numFmtId="179" fontId="45" fillId="0" borderId="89" xfId="0" applyNumberFormat="1" applyFont="1" applyBorder="1"/>
    <xf numFmtId="179" fontId="62" fillId="0" borderId="89" xfId="0" applyNumberFormat="1" applyFont="1" applyBorder="1"/>
    <xf numFmtId="0" fontId="44" fillId="0" borderId="89" xfId="0" applyFont="1" applyBorder="1" applyAlignment="1">
      <alignment horizontal="left"/>
    </xf>
    <xf numFmtId="192" fontId="19" fillId="0" borderId="0" xfId="0" applyNumberFormat="1" applyFont="1"/>
    <xf numFmtId="0" fontId="4" fillId="0" borderId="0" xfId="0" applyFont="1" applyAlignment="1">
      <alignment wrapText="1"/>
    </xf>
    <xf numFmtId="0" fontId="4" fillId="0" borderId="0" xfId="0" applyFont="1" applyAlignment="1">
      <alignment vertical="top" wrapText="1"/>
    </xf>
    <xf numFmtId="168" fontId="4" fillId="0" borderId="219" xfId="0" applyNumberFormat="1" applyFont="1" applyBorder="1" applyAlignment="1">
      <alignment horizontal="center"/>
    </xf>
    <xf numFmtId="168" fontId="49" fillId="0" borderId="4" xfId="0" applyNumberFormat="1" applyFont="1" applyBorder="1" applyAlignment="1">
      <alignment horizontal="center" vertical="center"/>
    </xf>
    <xf numFmtId="168" fontId="49" fillId="0" borderId="0" xfId="0" applyNumberFormat="1" applyFont="1" applyAlignment="1">
      <alignment horizontal="center" vertical="center"/>
    </xf>
    <xf numFmtId="0" fontId="4" fillId="0" borderId="107" xfId="0" applyFont="1" applyBorder="1"/>
    <xf numFmtId="0" fontId="4" fillId="0" borderId="67" xfId="0" applyFont="1" applyBorder="1"/>
    <xf numFmtId="0" fontId="49" fillId="0" borderId="0" xfId="0" applyFont="1" applyAlignment="1">
      <alignment horizontal="center" vertical="center"/>
    </xf>
    <xf numFmtId="168" fontId="4" fillId="0" borderId="67" xfId="0" applyNumberFormat="1" applyFont="1" applyBorder="1"/>
    <xf numFmtId="0" fontId="4" fillId="0" borderId="67" xfId="0" applyFont="1" applyBorder="1" applyAlignment="1">
      <alignment horizontal="center"/>
    </xf>
    <xf numFmtId="168" fontId="49" fillId="0" borderId="4" xfId="0" applyNumberFormat="1" applyFont="1" applyBorder="1" applyAlignment="1">
      <alignment horizontal="center" vertical="center" wrapText="1"/>
    </xf>
    <xf numFmtId="3" fontId="50" fillId="0" borderId="67" xfId="0" applyNumberFormat="1" applyFont="1" applyBorder="1" applyAlignment="1">
      <alignment horizontal="right"/>
    </xf>
    <xf numFmtId="3" fontId="4" fillId="0" borderId="67" xfId="0" applyNumberFormat="1" applyFont="1" applyBorder="1"/>
    <xf numFmtId="3" fontId="4" fillId="0" borderId="83" xfId="0" applyNumberFormat="1" applyFont="1" applyBorder="1"/>
    <xf numFmtId="0" fontId="49" fillId="4" borderId="1" xfId="0" applyFont="1" applyFill="1" applyBorder="1" applyAlignment="1">
      <alignment vertical="center"/>
    </xf>
    <xf numFmtId="1" fontId="49" fillId="4" borderId="1" xfId="0" applyNumberFormat="1" applyFont="1" applyFill="1" applyBorder="1" applyAlignment="1">
      <alignment horizontal="center"/>
    </xf>
    <xf numFmtId="2" fontId="4" fillId="0" borderId="0" xfId="0" applyNumberFormat="1" applyFont="1"/>
    <xf numFmtId="168" fontId="4" fillId="0" borderId="0" xfId="0" applyNumberFormat="1" applyFont="1"/>
    <xf numFmtId="11" fontId="4" fillId="0" borderId="0" xfId="0" applyNumberFormat="1" applyFont="1"/>
    <xf numFmtId="0" fontId="49" fillId="0" borderId="0" xfId="0" applyFont="1" applyAlignment="1">
      <alignment horizontal="left" vertical="center"/>
    </xf>
    <xf numFmtId="168" fontId="49" fillId="0" borderId="0" xfId="0" applyNumberFormat="1" applyFont="1" applyAlignment="1">
      <alignment horizontal="center" vertical="center" wrapText="1"/>
    </xf>
    <xf numFmtId="0" fontId="49" fillId="0" borderId="0" xfId="0" applyFont="1" applyAlignment="1">
      <alignment horizontal="left" vertical="center" wrapText="1"/>
    </xf>
    <xf numFmtId="188" fontId="49" fillId="0" borderId="0" xfId="0" applyNumberFormat="1" applyFont="1" applyAlignment="1">
      <alignment horizontal="center" vertical="center" wrapText="1"/>
    </xf>
    <xf numFmtId="3" fontId="23" fillId="0" borderId="4" xfId="0" applyNumberFormat="1" applyFont="1" applyBorder="1" applyAlignment="1">
      <alignment horizontal="right"/>
    </xf>
    <xf numFmtId="0" fontId="49" fillId="0" borderId="0" xfId="0" applyFont="1" applyAlignment="1">
      <alignment horizontal="left" wrapText="1"/>
    </xf>
    <xf numFmtId="3" fontId="23" fillId="22" borderId="4" xfId="0" applyNumberFormat="1" applyFont="1" applyFill="1" applyBorder="1" applyAlignment="1">
      <alignment horizontal="right"/>
    </xf>
    <xf numFmtId="168" fontId="4" fillId="13" borderId="4" xfId="0" applyNumberFormat="1" applyFont="1" applyFill="1" applyBorder="1"/>
    <xf numFmtId="168" fontId="9" fillId="0" borderId="4" xfId="0" applyNumberFormat="1" applyFont="1" applyBorder="1" applyAlignment="1">
      <alignment horizontal="center"/>
    </xf>
    <xf numFmtId="3" fontId="23" fillId="14" borderId="4" xfId="0" applyNumberFormat="1" applyFont="1" applyFill="1" applyBorder="1" applyAlignment="1">
      <alignment horizontal="right"/>
    </xf>
    <xf numFmtId="9" fontId="4" fillId="0" borderId="0" xfId="0" applyNumberFormat="1" applyFont="1" applyAlignment="1">
      <alignment horizontal="center"/>
    </xf>
    <xf numFmtId="168" fontId="4" fillId="0" borderId="2" xfId="0" applyNumberFormat="1" applyFont="1" applyBorder="1" applyAlignment="1">
      <alignment horizontal="center" wrapText="1"/>
    </xf>
    <xf numFmtId="168" fontId="4" fillId="0" borderId="84" xfId="0" applyNumberFormat="1" applyFont="1" applyBorder="1" applyAlignment="1">
      <alignment horizontal="center" wrapText="1"/>
    </xf>
    <xf numFmtId="168" fontId="17" fillId="0" borderId="4" xfId="0" applyNumberFormat="1" applyFont="1" applyBorder="1" applyAlignment="1">
      <alignment horizontal="right"/>
    </xf>
    <xf numFmtId="168" fontId="4" fillId="0" borderId="3" xfId="0" applyNumberFormat="1" applyFont="1" applyBorder="1" applyAlignment="1">
      <alignment horizontal="center" wrapText="1"/>
    </xf>
    <xf numFmtId="168" fontId="4" fillId="0" borderId="0" xfId="0" applyNumberFormat="1" applyFont="1" applyAlignment="1">
      <alignment horizontal="center" wrapText="1"/>
    </xf>
    <xf numFmtId="168" fontId="49" fillId="0" borderId="89" xfId="0" applyNumberFormat="1" applyFont="1" applyBorder="1" applyAlignment="1">
      <alignment horizontal="center"/>
    </xf>
    <xf numFmtId="0" fontId="49" fillId="0" borderId="0" xfId="0" applyFont="1" applyAlignment="1">
      <alignment horizontal="center"/>
    </xf>
    <xf numFmtId="170" fontId="49" fillId="0" borderId="89" xfId="0" applyNumberFormat="1" applyFont="1" applyBorder="1" applyAlignment="1">
      <alignment horizontal="center"/>
    </xf>
    <xf numFmtId="170" fontId="4" fillId="0" borderId="0" xfId="0" applyNumberFormat="1" applyFont="1" applyAlignment="1">
      <alignment horizontal="center" wrapText="1"/>
    </xf>
    <xf numFmtId="168" fontId="17" fillId="18" borderId="4" xfId="0" applyNumberFormat="1" applyFont="1" applyFill="1" applyBorder="1" applyAlignment="1">
      <alignment horizontal="right"/>
    </xf>
    <xf numFmtId="0" fontId="4" fillId="0" borderId="4" xfId="0" applyFont="1" applyBorder="1" applyAlignment="1">
      <alignment horizontal="center"/>
    </xf>
    <xf numFmtId="3" fontId="32" fillId="22" borderId="4" xfId="0" applyNumberFormat="1" applyFont="1" applyFill="1" applyBorder="1"/>
    <xf numFmtId="3" fontId="17" fillId="22" borderId="4" xfId="0" applyNumberFormat="1" applyFont="1" applyFill="1" applyBorder="1"/>
    <xf numFmtId="3" fontId="4" fillId="0" borderId="4" xfId="0" applyNumberFormat="1" applyFont="1" applyBorder="1" applyAlignment="1">
      <alignment horizontal="center"/>
    </xf>
    <xf numFmtId="3" fontId="4" fillId="0" borderId="0" xfId="0" applyNumberFormat="1" applyFont="1" applyAlignment="1">
      <alignment horizontal="center"/>
    </xf>
    <xf numFmtId="168" fontId="17" fillId="22" borderId="4" xfId="0" applyNumberFormat="1" applyFont="1" applyFill="1" applyBorder="1" applyAlignment="1">
      <alignment horizontal="right"/>
    </xf>
    <xf numFmtId="9" fontId="4" fillId="0" borderId="0" xfId="0" applyNumberFormat="1" applyFont="1"/>
    <xf numFmtId="168" fontId="17" fillId="14" borderId="4" xfId="0" applyNumberFormat="1" applyFont="1" applyFill="1" applyBorder="1" applyAlignment="1">
      <alignment horizontal="right"/>
    </xf>
    <xf numFmtId="168" fontId="4" fillId="0" borderId="4" xfId="0" applyNumberFormat="1" applyFont="1" applyBorder="1" applyAlignment="1">
      <alignment horizontal="center"/>
    </xf>
    <xf numFmtId="168" fontId="17" fillId="6" borderId="4" xfId="0" applyNumberFormat="1" applyFont="1" applyFill="1" applyBorder="1" applyAlignment="1">
      <alignment horizontal="right"/>
    </xf>
    <xf numFmtId="4" fontId="17" fillId="0" borderId="4" xfId="0" applyNumberFormat="1" applyFont="1" applyBorder="1"/>
    <xf numFmtId="0" fontId="4" fillId="0" borderId="0" xfId="0" applyFont="1" applyAlignment="1">
      <alignment horizontal="left"/>
    </xf>
    <xf numFmtId="168" fontId="17" fillId="21" borderId="4" xfId="0" applyNumberFormat="1" applyFont="1" applyFill="1" applyBorder="1" applyAlignment="1">
      <alignment horizontal="right"/>
    </xf>
    <xf numFmtId="168" fontId="23" fillId="26" borderId="4" xfId="0" applyNumberFormat="1" applyFont="1" applyFill="1" applyBorder="1" applyAlignment="1">
      <alignment horizontal="right"/>
    </xf>
    <xf numFmtId="0" fontId="72" fillId="0" borderId="0" xfId="0" applyFont="1"/>
    <xf numFmtId="9" fontId="4" fillId="0" borderId="4" xfId="0" applyNumberFormat="1" applyFont="1" applyBorder="1"/>
    <xf numFmtId="9" fontId="9" fillId="0" borderId="4" xfId="0" applyNumberFormat="1" applyFont="1" applyBorder="1"/>
    <xf numFmtId="168" fontId="4" fillId="0" borderId="4" xfId="0" applyNumberFormat="1" applyFont="1" applyBorder="1"/>
    <xf numFmtId="3" fontId="23" fillId="27" borderId="4" xfId="0" applyNumberFormat="1" applyFont="1" applyFill="1" applyBorder="1" applyAlignment="1">
      <alignment horizontal="right"/>
    </xf>
    <xf numFmtId="168" fontId="9" fillId="0" borderId="4" xfId="0" applyNumberFormat="1" applyFont="1" applyBorder="1"/>
    <xf numFmtId="0" fontId="17" fillId="0" borderId="4" xfId="0" applyFont="1" applyBorder="1" applyAlignment="1">
      <alignment horizontal="right"/>
    </xf>
    <xf numFmtId="168" fontId="17" fillId="27" borderId="4" xfId="0" applyNumberFormat="1" applyFont="1" applyFill="1" applyBorder="1" applyAlignment="1">
      <alignment horizontal="right"/>
    </xf>
    <xf numFmtId="168" fontId="49" fillId="0" borderId="0" xfId="0" applyNumberFormat="1" applyFont="1" applyAlignment="1">
      <alignment horizontal="center" wrapText="1"/>
    </xf>
    <xf numFmtId="168" fontId="23" fillId="0" borderId="4" xfId="0" applyNumberFormat="1" applyFont="1" applyBorder="1" applyAlignment="1">
      <alignment horizontal="right"/>
    </xf>
    <xf numFmtId="168" fontId="23" fillId="7" borderId="4" xfId="0" applyNumberFormat="1" applyFont="1" applyFill="1" applyBorder="1" applyAlignment="1">
      <alignment horizontal="right"/>
    </xf>
    <xf numFmtId="3" fontId="5" fillId="0" borderId="0" xfId="0" applyNumberFormat="1" applyFont="1" applyAlignment="1">
      <alignment horizontal="right"/>
    </xf>
    <xf numFmtId="168" fontId="23" fillId="30" borderId="4" xfId="0" applyNumberFormat="1" applyFont="1" applyFill="1" applyBorder="1" applyAlignment="1">
      <alignment horizontal="right"/>
    </xf>
    <xf numFmtId="43" fontId="19" fillId="0" borderId="0" xfId="0" applyNumberFormat="1" applyFont="1" applyAlignment="1">
      <alignment horizontal="right"/>
    </xf>
    <xf numFmtId="168" fontId="109" fillId="0" borderId="4" xfId="0" applyNumberFormat="1" applyFont="1" applyBorder="1" applyAlignment="1">
      <alignment horizontal="right"/>
    </xf>
    <xf numFmtId="168" fontId="47" fillId="12" borderId="1" xfId="0" applyNumberFormat="1" applyFont="1" applyFill="1" applyBorder="1"/>
    <xf numFmtId="194" fontId="19" fillId="0" borderId="0" xfId="0" applyNumberFormat="1" applyFont="1" applyAlignment="1">
      <alignment horizontal="left"/>
    </xf>
    <xf numFmtId="175" fontId="23" fillId="31" borderId="4" xfId="0" applyNumberFormat="1" applyFont="1" applyFill="1" applyBorder="1" applyAlignment="1">
      <alignment horizontal="right"/>
    </xf>
    <xf numFmtId="0" fontId="50" fillId="0" borderId="0" xfId="0" applyFont="1" applyAlignment="1">
      <alignment horizontal="center" vertical="top" wrapText="1"/>
    </xf>
    <xf numFmtId="4" fontId="5" fillId="0" borderId="220" xfId="0" applyNumberFormat="1" applyFont="1" applyBorder="1" applyAlignment="1">
      <alignment horizontal="right"/>
    </xf>
    <xf numFmtId="175" fontId="27" fillId="26" borderId="4" xfId="0" applyNumberFormat="1" applyFont="1" applyFill="1" applyBorder="1" applyAlignment="1">
      <alignment horizontal="right"/>
    </xf>
    <xf numFmtId="9" fontId="50" fillId="0" borderId="133" xfId="0" applyNumberFormat="1" applyFont="1" applyBorder="1" applyAlignment="1">
      <alignment horizontal="left" wrapText="1"/>
    </xf>
    <xf numFmtId="9" fontId="50" fillId="0" borderId="134" xfId="0" applyNumberFormat="1" applyFont="1" applyBorder="1" applyAlignment="1">
      <alignment horizontal="center" wrapText="1"/>
    </xf>
    <xf numFmtId="3" fontId="5" fillId="0" borderId="21" xfId="0" applyNumberFormat="1" applyFont="1" applyBorder="1" applyAlignment="1">
      <alignment horizontal="right"/>
    </xf>
    <xf numFmtId="9" fontId="50" fillId="0" borderId="223" xfId="0" applyNumberFormat="1" applyFont="1" applyBorder="1" applyAlignment="1">
      <alignment horizontal="center" wrapText="1"/>
    </xf>
    <xf numFmtId="0" fontId="50" fillId="0" borderId="133" xfId="0" applyFont="1" applyBorder="1" applyAlignment="1">
      <alignment horizontal="center" wrapText="1"/>
    </xf>
    <xf numFmtId="9" fontId="50" fillId="0" borderId="133" xfId="0" applyNumberFormat="1" applyFont="1" applyBorder="1" applyAlignment="1">
      <alignment horizontal="center" wrapText="1"/>
    </xf>
    <xf numFmtId="0" fontId="50" fillId="0" borderId="27" xfId="0" applyFont="1" applyBorder="1" applyAlignment="1">
      <alignment horizontal="center" wrapText="1"/>
    </xf>
    <xf numFmtId="0" fontId="50" fillId="0" borderId="134" xfId="0" applyFont="1" applyBorder="1" applyAlignment="1">
      <alignment horizontal="center" wrapText="1"/>
    </xf>
    <xf numFmtId="0" fontId="50" fillId="0" borderId="223" xfId="0" applyFont="1" applyBorder="1" applyAlignment="1">
      <alignment horizontal="center" wrapText="1"/>
    </xf>
    <xf numFmtId="0" fontId="50" fillId="0" borderId="134" xfId="0" applyFont="1" applyBorder="1" applyAlignment="1">
      <alignment horizontal="center" vertical="center" wrapText="1"/>
    </xf>
    <xf numFmtId="0" fontId="50" fillId="0" borderId="223" xfId="0" applyFont="1" applyBorder="1" applyAlignment="1">
      <alignment horizontal="center" vertical="center" wrapText="1"/>
    </xf>
    <xf numFmtId="0" fontId="50" fillId="0" borderId="31" xfId="0" applyFont="1" applyBorder="1" applyAlignment="1">
      <alignment horizontal="center" wrapText="1"/>
    </xf>
    <xf numFmtId="0" fontId="50" fillId="0" borderId="12" xfId="0" applyFont="1" applyBorder="1" applyAlignment="1">
      <alignment horizontal="center" wrapText="1"/>
    </xf>
    <xf numFmtId="0" fontId="50" fillId="0" borderId="13" xfId="0" applyFont="1" applyBorder="1" applyAlignment="1">
      <alignment horizontal="center" wrapText="1"/>
    </xf>
    <xf numFmtId="181" fontId="9" fillId="0" borderId="0" xfId="0" applyNumberFormat="1" applyFont="1" applyAlignment="1">
      <alignment horizontal="left"/>
    </xf>
    <xf numFmtId="188" fontId="4" fillId="0" borderId="4" xfId="0" applyNumberFormat="1" applyFont="1" applyBorder="1" applyAlignment="1">
      <alignment horizontal="center"/>
    </xf>
    <xf numFmtId="0" fontId="4" fillId="0" borderId="191" xfId="0" applyFont="1" applyBorder="1"/>
    <xf numFmtId="168" fontId="4" fillId="0" borderId="84" xfId="0" applyNumberFormat="1" applyFont="1" applyBorder="1"/>
    <xf numFmtId="168" fontId="4" fillId="0" borderId="5" xfId="0" applyNumberFormat="1" applyFont="1" applyBorder="1" applyAlignment="1">
      <alignment horizontal="right"/>
    </xf>
    <xf numFmtId="9" fontId="19" fillId="0" borderId="64" xfId="0" applyNumberFormat="1" applyFont="1" applyBorder="1" applyAlignment="1">
      <alignment horizontal="left" vertical="top" wrapText="1"/>
    </xf>
    <xf numFmtId="9" fontId="19" fillId="0" borderId="65" xfId="0" applyNumberFormat="1" applyFont="1" applyBorder="1" applyAlignment="1">
      <alignment horizontal="center"/>
    </xf>
    <xf numFmtId="9" fontId="19" fillId="0" borderId="68" xfId="0" applyNumberFormat="1" applyFont="1" applyBorder="1" applyAlignment="1">
      <alignment horizontal="center"/>
    </xf>
    <xf numFmtId="10" fontId="19" fillId="0" borderId="68" xfId="0" applyNumberFormat="1" applyFont="1" applyBorder="1" applyAlignment="1">
      <alignment horizontal="center"/>
    </xf>
    <xf numFmtId="9" fontId="19" fillId="0" borderId="65" xfId="0" applyNumberFormat="1" applyFont="1" applyBorder="1" applyAlignment="1">
      <alignment horizontal="center" vertical="top" wrapText="1"/>
    </xf>
    <xf numFmtId="0" fontId="19" fillId="0" borderId="64" xfId="0" applyFont="1" applyBorder="1" applyAlignment="1">
      <alignment horizontal="center"/>
    </xf>
    <xf numFmtId="0" fontId="4" fillId="0" borderId="49" xfId="0" applyFont="1" applyBorder="1"/>
    <xf numFmtId="9" fontId="4" fillId="0" borderId="51" xfId="0" applyNumberFormat="1" applyFont="1" applyBorder="1"/>
    <xf numFmtId="3" fontId="79" fillId="0" borderId="4" xfId="0" applyNumberFormat="1" applyFont="1" applyBorder="1" applyAlignment="1">
      <alignment horizontal="right" wrapText="1"/>
    </xf>
    <xf numFmtId="0" fontId="4" fillId="0" borderId="64" xfId="0" applyFont="1" applyBorder="1"/>
    <xf numFmtId="9" fontId="4" fillId="0" borderId="65" xfId="0" applyNumberFormat="1" applyFont="1" applyBorder="1"/>
    <xf numFmtId="9" fontId="4" fillId="0" borderId="68" xfId="0" applyNumberFormat="1" applyFont="1" applyBorder="1"/>
    <xf numFmtId="0" fontId="4" fillId="0" borderId="65" xfId="0" applyFont="1" applyBorder="1"/>
    <xf numFmtId="3" fontId="5" fillId="0" borderId="4" xfId="0" applyNumberFormat="1" applyFont="1" applyBorder="1" applyAlignment="1">
      <alignment horizontal="right" wrapText="1"/>
    </xf>
    <xf numFmtId="195" fontId="79" fillId="0" borderId="4" xfId="0" applyNumberFormat="1" applyFont="1" applyBorder="1" applyAlignment="1">
      <alignment horizontal="right" wrapText="1"/>
    </xf>
    <xf numFmtId="195" fontId="5" fillId="0" borderId="4" xfId="0" applyNumberFormat="1" applyFont="1" applyBorder="1" applyAlignment="1">
      <alignment horizontal="right" wrapText="1"/>
    </xf>
    <xf numFmtId="188" fontId="4" fillId="0" borderId="0" xfId="0" applyNumberFormat="1" applyFont="1" applyAlignment="1">
      <alignment horizontal="center"/>
    </xf>
    <xf numFmtId="168" fontId="4" fillId="0" borderId="32" xfId="0" applyNumberFormat="1" applyFont="1" applyBorder="1" applyAlignment="1">
      <alignment horizontal="center"/>
    </xf>
    <xf numFmtId="168" fontId="49" fillId="0" borderId="89" xfId="0" applyNumberFormat="1" applyFont="1" applyBorder="1" applyAlignment="1">
      <alignment horizontal="right"/>
    </xf>
    <xf numFmtId="0" fontId="4" fillId="0" borderId="0" xfId="0" applyFont="1" applyAlignment="1">
      <alignment horizontal="right"/>
    </xf>
    <xf numFmtId="168" fontId="4" fillId="0" borderId="0" xfId="0" applyNumberFormat="1" applyFont="1" applyAlignment="1">
      <alignment horizontal="right"/>
    </xf>
    <xf numFmtId="168" fontId="4" fillId="0" borderId="4" xfId="0" applyNumberFormat="1" applyFont="1" applyBorder="1" applyAlignment="1">
      <alignment horizontal="right"/>
    </xf>
    <xf numFmtId="168" fontId="4" fillId="0" borderId="195" xfId="0" applyNumberFormat="1" applyFont="1" applyBorder="1" applyAlignment="1">
      <alignment horizontal="center"/>
    </xf>
    <xf numFmtId="188" fontId="4" fillId="0" borderId="111" xfId="0" applyNumberFormat="1" applyFont="1" applyBorder="1" applyAlignment="1">
      <alignment horizontal="center"/>
    </xf>
    <xf numFmtId="168" fontId="4" fillId="0" borderId="111" xfId="0" applyNumberFormat="1" applyFont="1" applyBorder="1" applyAlignment="1">
      <alignment horizontal="center"/>
    </xf>
    <xf numFmtId="168" fontId="4" fillId="0" borderId="5" xfId="0" applyNumberFormat="1" applyFont="1" applyBorder="1" applyAlignment="1">
      <alignment horizontal="center"/>
    </xf>
    <xf numFmtId="3" fontId="49" fillId="0" borderId="89" xfId="0" applyNumberFormat="1" applyFont="1" applyBorder="1" applyAlignment="1">
      <alignment horizontal="center"/>
    </xf>
    <xf numFmtId="168" fontId="49" fillId="0" borderId="0" xfId="0" applyNumberFormat="1" applyFont="1" applyAlignment="1">
      <alignment horizontal="center"/>
    </xf>
    <xf numFmtId="0" fontId="49" fillId="4" borderId="1" xfId="0" applyFont="1" applyFill="1" applyBorder="1" applyAlignment="1">
      <alignment horizontal="center"/>
    </xf>
    <xf numFmtId="0" fontId="49" fillId="0" borderId="0" xfId="0" applyFont="1" applyAlignment="1">
      <alignment horizontal="right" vertical="center"/>
    </xf>
    <xf numFmtId="168" fontId="4" fillId="0" borderId="21" xfId="0" applyNumberFormat="1" applyFont="1" applyBorder="1" applyAlignment="1">
      <alignment horizontal="center"/>
    </xf>
    <xf numFmtId="170" fontId="4" fillId="0" borderId="89" xfId="0" applyNumberFormat="1" applyFont="1" applyBorder="1" applyAlignment="1">
      <alignment horizontal="center"/>
    </xf>
    <xf numFmtId="168" fontId="4" fillId="0" borderId="78" xfId="0" applyNumberFormat="1" applyFont="1" applyBorder="1" applyAlignment="1">
      <alignment horizontal="center"/>
    </xf>
    <xf numFmtId="168" fontId="4" fillId="0" borderId="37" xfId="0" applyNumberFormat="1" applyFont="1" applyBorder="1" applyAlignment="1">
      <alignment horizontal="center"/>
    </xf>
    <xf numFmtId="168" fontId="49" fillId="0" borderId="104" xfId="0" applyNumberFormat="1" applyFont="1" applyBorder="1" applyAlignment="1">
      <alignment horizontal="center"/>
    </xf>
    <xf numFmtId="0" fontId="8" fillId="12" borderId="1" xfId="0" applyFont="1" applyFill="1" applyBorder="1"/>
    <xf numFmtId="0" fontId="110" fillId="0" borderId="0" xfId="0" applyFont="1"/>
    <xf numFmtId="3" fontId="4" fillId="21" borderId="4" xfId="0" applyNumberFormat="1" applyFont="1" applyFill="1" applyBorder="1" applyAlignment="1">
      <alignment horizontal="center"/>
    </xf>
    <xf numFmtId="188" fontId="4" fillId="0" borderId="4" xfId="0" applyNumberFormat="1" applyFont="1" applyBorder="1"/>
    <xf numFmtId="43" fontId="4" fillId="0" borderId="78" xfId="0" applyNumberFormat="1" applyFont="1" applyBorder="1"/>
    <xf numFmtId="172" fontId="4" fillId="0" borderId="4" xfId="0" applyNumberFormat="1" applyFont="1" applyBorder="1"/>
    <xf numFmtId="175" fontId="4" fillId="0" borderId="4" xfId="0" applyNumberFormat="1" applyFont="1" applyBorder="1" applyAlignment="1">
      <alignment horizontal="center"/>
    </xf>
    <xf numFmtId="43" fontId="4" fillId="0" borderId="4" xfId="0" applyNumberFormat="1" applyFont="1" applyBorder="1" applyAlignment="1">
      <alignment horizontal="center"/>
    </xf>
    <xf numFmtId="43" fontId="4" fillId="0" borderId="0" xfId="0" applyNumberFormat="1" applyFont="1" applyAlignment="1">
      <alignment horizontal="center"/>
    </xf>
    <xf numFmtId="184" fontId="4" fillId="0" borderId="4" xfId="0" applyNumberFormat="1" applyFont="1" applyBorder="1" applyAlignment="1">
      <alignment horizontal="center"/>
    </xf>
    <xf numFmtId="188" fontId="4" fillId="21" borderId="4" xfId="0" applyNumberFormat="1" applyFont="1" applyFill="1" applyBorder="1"/>
    <xf numFmtId="43" fontId="4" fillId="21" borderId="147" xfId="0" applyNumberFormat="1" applyFont="1" applyFill="1" applyBorder="1"/>
    <xf numFmtId="2" fontId="4" fillId="21" borderId="4" xfId="0" applyNumberFormat="1" applyFont="1" applyFill="1" applyBorder="1" applyAlignment="1">
      <alignment horizontal="center"/>
    </xf>
    <xf numFmtId="172" fontId="4" fillId="21" borderId="4" xfId="0" applyNumberFormat="1" applyFont="1" applyFill="1" applyBorder="1"/>
    <xf numFmtId="173" fontId="4" fillId="21" borderId="4" xfId="0" applyNumberFormat="1" applyFont="1" applyFill="1" applyBorder="1"/>
    <xf numFmtId="175" fontId="4" fillId="21" borderId="4" xfId="0" applyNumberFormat="1" applyFont="1" applyFill="1" applyBorder="1" applyAlignment="1">
      <alignment horizontal="center"/>
    </xf>
    <xf numFmtId="0" fontId="4" fillId="0" borderId="195" xfId="0" applyFont="1" applyBorder="1" applyAlignment="1">
      <alignment horizontal="center"/>
    </xf>
    <xf numFmtId="167" fontId="4" fillId="0" borderId="195" xfId="0" applyNumberFormat="1" applyFont="1" applyBorder="1"/>
    <xf numFmtId="172" fontId="4" fillId="0" borderId="0" xfId="0" applyNumberFormat="1" applyFont="1"/>
    <xf numFmtId="168" fontId="49" fillId="0" borderId="0" xfId="0" applyNumberFormat="1" applyFont="1"/>
    <xf numFmtId="172" fontId="49" fillId="0" borderId="0" xfId="0" applyNumberFormat="1" applyFont="1"/>
    <xf numFmtId="168" fontId="49" fillId="0" borderId="89" xfId="0" applyNumberFormat="1" applyFont="1" applyBorder="1"/>
    <xf numFmtId="172" fontId="49" fillId="0" borderId="89" xfId="0" applyNumberFormat="1" applyFont="1" applyBorder="1"/>
    <xf numFmtId="168" fontId="4" fillId="2" borderId="4" xfId="0" applyNumberFormat="1" applyFont="1" applyFill="1" applyBorder="1" applyAlignment="1">
      <alignment horizontal="center"/>
    </xf>
    <xf numFmtId="43" fontId="4" fillId="0" borderId="4" xfId="0" applyNumberFormat="1" applyFont="1" applyBorder="1"/>
    <xf numFmtId="173" fontId="4" fillId="0" borderId="4" xfId="0" applyNumberFormat="1" applyFont="1" applyBorder="1"/>
    <xf numFmtId="196" fontId="4" fillId="0" borderId="4" xfId="0" applyNumberFormat="1" applyFont="1" applyBorder="1"/>
    <xf numFmtId="173" fontId="4" fillId="0" borderId="0" xfId="0" applyNumberFormat="1" applyFont="1"/>
    <xf numFmtId="43" fontId="49" fillId="0" borderId="89" xfId="0" applyNumberFormat="1" applyFont="1" applyBorder="1"/>
    <xf numFmtId="173" fontId="49" fillId="0" borderId="89" xfId="0" applyNumberFormat="1" applyFont="1" applyBorder="1"/>
    <xf numFmtId="165" fontId="49" fillId="0" borderId="89" xfId="0" applyNumberFormat="1" applyFont="1" applyBorder="1"/>
    <xf numFmtId="0" fontId="5" fillId="12" borderId="1" xfId="0" applyFont="1" applyFill="1" applyBorder="1" applyAlignment="1">
      <alignment horizontal="left"/>
    </xf>
    <xf numFmtId="0" fontId="5" fillId="12" borderId="1" xfId="0" applyFont="1" applyFill="1" applyBorder="1" applyAlignment="1">
      <alignment horizontal="center"/>
    </xf>
    <xf numFmtId="0" fontId="79" fillId="0" borderId="225" xfId="0" applyFont="1" applyBorder="1"/>
    <xf numFmtId="0" fontId="79" fillId="0" borderId="226" xfId="0" applyFont="1" applyBorder="1" applyAlignment="1">
      <alignment horizontal="center" wrapText="1"/>
    </xf>
    <xf numFmtId="0" fontId="5" fillId="0" borderId="227" xfId="0" applyFont="1" applyBorder="1"/>
    <xf numFmtId="0" fontId="79" fillId="0" borderId="228" xfId="0" applyFont="1" applyBorder="1" applyAlignment="1">
      <alignment horizontal="center" vertical="center" wrapText="1"/>
    </xf>
    <xf numFmtId="0" fontId="5" fillId="0" borderId="229" xfId="0" applyFont="1" applyBorder="1"/>
    <xf numFmtId="172" fontId="5" fillId="0" borderId="0" xfId="0" applyNumberFormat="1" applyFont="1"/>
    <xf numFmtId="179" fontId="5" fillId="0" borderId="230" xfId="0" applyNumberFormat="1" applyFont="1" applyBorder="1"/>
    <xf numFmtId="172" fontId="5" fillId="0" borderId="231" xfId="0" applyNumberFormat="1" applyFont="1" applyBorder="1" applyAlignment="1">
      <alignment horizontal="center"/>
    </xf>
    <xf numFmtId="173" fontId="5" fillId="0" borderId="230" xfId="0" applyNumberFormat="1" applyFont="1" applyBorder="1"/>
    <xf numFmtId="169" fontId="19" fillId="0" borderId="0" xfId="0" applyNumberFormat="1" applyFont="1"/>
    <xf numFmtId="173" fontId="5" fillId="0" borderId="0" xfId="0" applyNumberFormat="1" applyFont="1"/>
    <xf numFmtId="0" fontId="79" fillId="7" borderId="232" xfId="0" applyFont="1" applyFill="1" applyBorder="1"/>
    <xf numFmtId="173" fontId="79" fillId="7" borderId="181" xfId="0" applyNumberFormat="1" applyFont="1" applyFill="1" applyBorder="1"/>
    <xf numFmtId="173" fontId="79" fillId="7" borderId="233" xfId="0" applyNumberFormat="1" applyFont="1" applyFill="1" applyBorder="1"/>
    <xf numFmtId="172" fontId="79" fillId="7" borderId="234" xfId="0" applyNumberFormat="1" applyFont="1" applyFill="1" applyBorder="1" applyAlignment="1">
      <alignment horizontal="center"/>
    </xf>
    <xf numFmtId="0" fontId="79" fillId="0" borderId="235" xfId="0" applyFont="1" applyBorder="1"/>
    <xf numFmtId="0" fontId="5" fillId="0" borderId="6" xfId="0" applyFont="1" applyBorder="1"/>
    <xf numFmtId="0" fontId="5" fillId="0" borderId="236" xfId="0" applyFont="1" applyBorder="1"/>
    <xf numFmtId="0" fontId="5" fillId="0" borderId="231" xfId="0" applyFont="1" applyBorder="1" applyAlignment="1">
      <alignment horizontal="center"/>
    </xf>
    <xf numFmtId="0" fontId="79" fillId="0" borderId="237" xfId="0" applyFont="1" applyBorder="1" applyAlignment="1">
      <alignment wrapText="1"/>
    </xf>
    <xf numFmtId="0" fontId="79" fillId="0" borderId="6" xfId="0" applyFont="1" applyBorder="1"/>
    <xf numFmtId="0" fontId="79" fillId="0" borderId="236" xfId="0" applyFont="1" applyBorder="1"/>
    <xf numFmtId="0" fontId="79" fillId="0" borderId="229" xfId="0" applyFont="1" applyBorder="1"/>
    <xf numFmtId="173" fontId="79" fillId="0" borderId="20" xfId="0" applyNumberFormat="1" applyFont="1" applyBorder="1"/>
    <xf numFmtId="173" fontId="79" fillId="0" borderId="238" xfId="0" applyNumberFormat="1" applyFont="1" applyBorder="1"/>
    <xf numFmtId="172" fontId="79" fillId="0" borderId="231" xfId="0" applyNumberFormat="1" applyFont="1" applyBorder="1" applyAlignment="1">
      <alignment horizontal="center"/>
    </xf>
    <xf numFmtId="0" fontId="5" fillId="0" borderId="229" xfId="0" applyFont="1" applyBorder="1" applyAlignment="1">
      <alignment horizontal="left"/>
    </xf>
    <xf numFmtId="0" fontId="79" fillId="0" borderId="229" xfId="0" applyFont="1" applyBorder="1" applyAlignment="1">
      <alignment horizontal="left"/>
    </xf>
    <xf numFmtId="173" fontId="79" fillId="0" borderId="0" xfId="0" applyNumberFormat="1" applyFont="1"/>
    <xf numFmtId="173" fontId="79" fillId="0" borderId="230" xfId="0" applyNumberFormat="1" applyFont="1" applyBorder="1"/>
    <xf numFmtId="0" fontId="5" fillId="0" borderId="230" xfId="0" applyFont="1" applyBorder="1"/>
    <xf numFmtId="0" fontId="5" fillId="0" borderId="231" xfId="0" applyFont="1" applyBorder="1"/>
    <xf numFmtId="0" fontId="79" fillId="0" borderId="125" xfId="0" applyFont="1" applyBorder="1"/>
    <xf numFmtId="0" fontId="79" fillId="0" borderId="239" xfId="0" applyFont="1" applyBorder="1"/>
    <xf numFmtId="0" fontId="79" fillId="0" borderId="240" xfId="0" applyFont="1" applyBorder="1"/>
    <xf numFmtId="168" fontId="79" fillId="0" borderId="0" xfId="0" applyNumberFormat="1" applyFont="1"/>
    <xf numFmtId="168" fontId="79" fillId="0" borderId="230" xfId="0" applyNumberFormat="1" applyFont="1" applyBorder="1"/>
    <xf numFmtId="168" fontId="79" fillId="0" borderId="231" xfId="0" applyNumberFormat="1" applyFont="1" applyBorder="1"/>
    <xf numFmtId="168" fontId="5" fillId="0" borderId="0" xfId="0" applyNumberFormat="1" applyFont="1"/>
    <xf numFmtId="168" fontId="5" fillId="0" borderId="230" xfId="0" applyNumberFormat="1" applyFont="1" applyBorder="1"/>
    <xf numFmtId="168" fontId="5" fillId="0" borderId="231" xfId="0" applyNumberFormat="1" applyFont="1" applyBorder="1"/>
    <xf numFmtId="188" fontId="5" fillId="0" borderId="231" xfId="0" applyNumberFormat="1" applyFont="1" applyBorder="1"/>
    <xf numFmtId="0" fontId="108" fillId="0" borderId="229" xfId="0" applyFont="1" applyBorder="1" applyAlignment="1">
      <alignment horizontal="left"/>
    </xf>
    <xf numFmtId="168" fontId="79" fillId="0" borderId="6" xfId="0" applyNumberFormat="1" applyFont="1" applyBorder="1"/>
    <xf numFmtId="168" fontId="79" fillId="0" borderId="236" xfId="0" applyNumberFormat="1" applyFont="1" applyBorder="1"/>
    <xf numFmtId="168" fontId="79" fillId="0" borderId="241" xfId="0" applyNumberFormat="1" applyFont="1" applyBorder="1"/>
    <xf numFmtId="0" fontId="4" fillId="2" borderId="4" xfId="0" applyFont="1" applyFill="1" applyBorder="1" applyAlignment="1">
      <alignment horizontal="left"/>
    </xf>
    <xf numFmtId="0" fontId="4" fillId="2" borderId="4" xfId="0" applyFont="1" applyFill="1" applyBorder="1" applyAlignment="1">
      <alignment horizontal="right"/>
    </xf>
    <xf numFmtId="3" fontId="4" fillId="2" borderId="4" xfId="0" applyNumberFormat="1" applyFont="1" applyFill="1" applyBorder="1" applyAlignment="1">
      <alignment horizontal="right"/>
    </xf>
    <xf numFmtId="0" fontId="12" fillId="24" borderId="60" xfId="0" applyFont="1" applyFill="1" applyBorder="1"/>
    <xf numFmtId="0" fontId="3" fillId="24" borderId="60" xfId="0" applyFont="1" applyFill="1" applyBorder="1"/>
    <xf numFmtId="0" fontId="3" fillId="0" borderId="60" xfId="0" applyFont="1" applyBorder="1"/>
    <xf numFmtId="0" fontId="80" fillId="0" borderId="0" xfId="0" applyFont="1" applyAlignment="1">
      <alignment horizontal="center" wrapText="1"/>
    </xf>
    <xf numFmtId="0" fontId="80" fillId="25" borderId="4" xfId="0" applyFont="1" applyFill="1" applyBorder="1" applyAlignment="1">
      <alignment horizontal="center" wrapText="1"/>
    </xf>
    <xf numFmtId="0" fontId="162" fillId="0" borderId="4" xfId="0" applyFont="1" applyBorder="1" applyAlignment="1">
      <alignment horizontal="center" wrapText="1"/>
    </xf>
    <xf numFmtId="0" fontId="162" fillId="0" borderId="67" xfId="0" applyFont="1" applyBorder="1" applyAlignment="1">
      <alignment horizontal="center" wrapText="1"/>
    </xf>
    <xf numFmtId="0" fontId="162" fillId="0" borderId="147" xfId="0" applyFont="1" applyBorder="1" applyAlignment="1">
      <alignment horizontal="center" wrapText="1"/>
    </xf>
    <xf numFmtId="172" fontId="162" fillId="0" borderId="147" xfId="0" applyNumberFormat="1" applyFont="1" applyBorder="1" applyAlignment="1">
      <alignment horizontal="center" wrapText="1"/>
    </xf>
    <xf numFmtId="172" fontId="162" fillId="0" borderId="4" xfId="0" applyNumberFormat="1" applyFont="1" applyBorder="1" applyAlignment="1">
      <alignment horizontal="center" wrapText="1"/>
    </xf>
    <xf numFmtId="0" fontId="163" fillId="0" borderId="0" xfId="0" applyFont="1"/>
    <xf numFmtId="0" fontId="164" fillId="0" borderId="0" xfId="0" applyFont="1"/>
    <xf numFmtId="0" fontId="79" fillId="25" borderId="60" xfId="0" applyFont="1" applyFill="1" applyBorder="1"/>
    <xf numFmtId="0" fontId="79" fillId="0" borderId="60" xfId="0" applyFont="1" applyBorder="1"/>
    <xf numFmtId="0" fontId="79" fillId="0" borderId="212" xfId="0" applyFont="1" applyBorder="1"/>
    <xf numFmtId="0" fontId="79" fillId="0" borderId="3" xfId="0" applyFont="1" applyBorder="1"/>
    <xf numFmtId="0" fontId="79" fillId="23" borderId="4" xfId="0" applyFont="1" applyFill="1" applyBorder="1" applyAlignment="1">
      <alignment horizontal="center"/>
    </xf>
    <xf numFmtId="0" fontId="79" fillId="0" borderId="0" xfId="0" applyFont="1" applyAlignment="1">
      <alignment horizontal="right"/>
    </xf>
    <xf numFmtId="0" fontId="5" fillId="0" borderId="212" xfId="0" applyFont="1" applyBorder="1"/>
    <xf numFmtId="0" fontId="5" fillId="0" borderId="3" xfId="0" applyFont="1" applyBorder="1"/>
    <xf numFmtId="0" fontId="5" fillId="0" borderId="242" xfId="0" applyFont="1" applyBorder="1"/>
    <xf numFmtId="0" fontId="5" fillId="0" borderId="137" xfId="0" applyFont="1" applyBorder="1"/>
    <xf numFmtId="0" fontId="5" fillId="0" borderId="188" xfId="0" applyFont="1" applyBorder="1" applyAlignment="1">
      <alignment horizontal="center"/>
    </xf>
    <xf numFmtId="0" fontId="5" fillId="0" borderId="26" xfId="0" applyFont="1" applyBorder="1"/>
    <xf numFmtId="0" fontId="5" fillId="0" borderId="243" xfId="0" applyFont="1" applyBorder="1"/>
    <xf numFmtId="0" fontId="5" fillId="0" borderId="21" xfId="0" applyFont="1" applyBorder="1" applyAlignment="1">
      <alignment horizontal="center"/>
    </xf>
    <xf numFmtId="0" fontId="79" fillId="0" borderId="4" xfId="0" applyFont="1" applyBorder="1"/>
    <xf numFmtId="0" fontId="5" fillId="0" borderId="21" xfId="0" applyFont="1" applyBorder="1"/>
    <xf numFmtId="172" fontId="5" fillId="0" borderId="4" xfId="0" applyNumberFormat="1" applyFont="1" applyBorder="1" applyAlignment="1">
      <alignment horizontal="center"/>
    </xf>
    <xf numFmtId="0" fontId="79" fillId="23" borderId="4" xfId="0" applyFont="1" applyFill="1" applyBorder="1"/>
    <xf numFmtId="0" fontId="46" fillId="0" borderId="0" xfId="0" applyFont="1"/>
    <xf numFmtId="172" fontId="5" fillId="0" borderId="4" xfId="0" applyNumberFormat="1" applyFont="1" applyBorder="1"/>
    <xf numFmtId="172" fontId="165" fillId="0" borderId="0" xfId="0" applyNumberFormat="1" applyFont="1"/>
    <xf numFmtId="0" fontId="80" fillId="23" borderId="4" xfId="0" applyFont="1" applyFill="1" applyBorder="1"/>
    <xf numFmtId="172" fontId="79" fillId="23" borderId="4" xfId="0" applyNumberFormat="1" applyFont="1" applyFill="1" applyBorder="1"/>
    <xf numFmtId="0" fontId="5" fillId="0" borderId="147" xfId="0" applyFont="1" applyBorder="1"/>
    <xf numFmtId="0" fontId="80" fillId="0" borderId="60" xfId="0" applyFont="1" applyBorder="1"/>
    <xf numFmtId="172" fontId="79" fillId="0" borderId="60" xfId="0" applyNumberFormat="1" applyFont="1" applyBorder="1"/>
    <xf numFmtId="0" fontId="79" fillId="0" borderId="218" xfId="0" applyFont="1" applyBorder="1"/>
    <xf numFmtId="0" fontId="5" fillId="0" borderId="218" xfId="0" applyFont="1" applyBorder="1"/>
    <xf numFmtId="0" fontId="5" fillId="0" borderId="147" xfId="0" applyFont="1" applyBorder="1" applyAlignment="1">
      <alignment horizontal="left"/>
    </xf>
    <xf numFmtId="0" fontId="5" fillId="2" borderId="203" xfId="0" applyFont="1" applyFill="1" applyBorder="1" applyAlignment="1">
      <alignment horizontal="right"/>
    </xf>
    <xf numFmtId="0" fontId="5" fillId="2" borderId="4" xfId="0" applyFont="1" applyFill="1" applyBorder="1" applyAlignment="1">
      <alignment horizontal="right"/>
    </xf>
    <xf numFmtId="0" fontId="79" fillId="23" borderId="4" xfId="0" applyFont="1" applyFill="1" applyBorder="1" applyAlignment="1">
      <alignment horizontal="center" wrapText="1"/>
    </xf>
    <xf numFmtId="0" fontId="79" fillId="23" borderId="3" xfId="0" applyFont="1" applyFill="1" applyBorder="1" applyAlignment="1">
      <alignment horizontal="center" wrapText="1"/>
    </xf>
    <xf numFmtId="0" fontId="5" fillId="0" borderId="4" xfId="0" applyFont="1" applyBorder="1" applyAlignment="1">
      <alignment horizontal="center" wrapText="1"/>
    </xf>
    <xf numFmtId="3" fontId="5" fillId="0" borderId="203" xfId="0" applyNumberFormat="1" applyFont="1" applyBorder="1" applyAlignment="1">
      <alignment horizontal="center" wrapText="1"/>
    </xf>
    <xf numFmtId="9" fontId="5" fillId="0" borderId="203" xfId="0" applyNumberFormat="1" applyFont="1" applyBorder="1" applyAlignment="1">
      <alignment horizontal="center" wrapText="1"/>
    </xf>
    <xf numFmtId="2" fontId="5" fillId="0" borderId="203" xfId="0" applyNumberFormat="1" applyFont="1" applyBorder="1" applyAlignment="1">
      <alignment horizontal="center" wrapText="1"/>
    </xf>
    <xf numFmtId="193" fontId="5" fillId="0" borderId="203" xfId="0" applyNumberFormat="1" applyFont="1" applyBorder="1" applyAlignment="1">
      <alignment horizontal="center" wrapText="1"/>
    </xf>
    <xf numFmtId="3" fontId="5" fillId="0" borderId="4" xfId="0" applyNumberFormat="1" applyFont="1" applyBorder="1" applyAlignment="1">
      <alignment horizontal="center" wrapText="1"/>
    </xf>
    <xf numFmtId="9" fontId="5" fillId="0" borderId="4" xfId="0" applyNumberFormat="1" applyFont="1" applyBorder="1" applyAlignment="1">
      <alignment horizontal="center" wrapText="1"/>
    </xf>
    <xf numFmtId="3" fontId="5" fillId="0" borderId="203" xfId="0" applyNumberFormat="1" applyFont="1" applyBorder="1" applyAlignment="1">
      <alignment horizontal="center"/>
    </xf>
    <xf numFmtId="0" fontId="5" fillId="0" borderId="0" xfId="0" applyFont="1" applyAlignment="1">
      <alignment horizontal="left"/>
    </xf>
    <xf numFmtId="0" fontId="5" fillId="0" borderId="37" xfId="0" applyFont="1" applyBorder="1"/>
    <xf numFmtId="9" fontId="5" fillId="0" borderId="220" xfId="0" applyNumberFormat="1" applyFont="1" applyBorder="1" applyAlignment="1">
      <alignment horizontal="center"/>
    </xf>
    <xf numFmtId="0" fontId="5" fillId="0" borderId="203" xfId="0" applyFont="1" applyBorder="1" applyAlignment="1">
      <alignment horizontal="center"/>
    </xf>
    <xf numFmtId="189" fontId="5" fillId="0" borderId="220" xfId="0" applyNumberFormat="1" applyFont="1" applyBorder="1" applyAlignment="1">
      <alignment horizontal="center"/>
    </xf>
    <xf numFmtId="0" fontId="79" fillId="23" borderId="3" xfId="0" applyFont="1" applyFill="1" applyBorder="1" applyAlignment="1">
      <alignment horizontal="center"/>
    </xf>
    <xf numFmtId="189" fontId="5" fillId="2" borderId="4" xfId="0" applyNumberFormat="1" applyFont="1" applyFill="1" applyBorder="1" applyAlignment="1">
      <alignment horizontal="center"/>
    </xf>
    <xf numFmtId="189" fontId="5" fillId="0" borderId="4" xfId="0" applyNumberFormat="1" applyFont="1" applyBorder="1" applyAlignment="1">
      <alignment horizontal="center"/>
    </xf>
    <xf numFmtId="197" fontId="3" fillId="0" borderId="0" xfId="0" applyNumberFormat="1" applyFont="1"/>
    <xf numFmtId="0" fontId="79" fillId="23" borderId="203" xfId="0" applyFont="1" applyFill="1" applyBorder="1" applyAlignment="1">
      <alignment horizontal="center"/>
    </xf>
    <xf numFmtId="172" fontId="5" fillId="2" borderId="203" xfId="0" applyNumberFormat="1" applyFont="1" applyFill="1" applyBorder="1" applyAlignment="1">
      <alignment horizontal="center"/>
    </xf>
    <xf numFmtId="172" fontId="5" fillId="2" borderId="4" xfId="0" applyNumberFormat="1" applyFont="1" applyFill="1" applyBorder="1" applyAlignment="1">
      <alignment horizontal="center"/>
    </xf>
    <xf numFmtId="0" fontId="79" fillId="28" borderId="212" xfId="0" applyFont="1" applyFill="1" applyBorder="1" applyAlignment="1">
      <alignment horizontal="left"/>
    </xf>
    <xf numFmtId="0" fontId="79" fillId="28" borderId="32" xfId="0" applyFont="1" applyFill="1" applyBorder="1" applyAlignment="1">
      <alignment horizontal="center"/>
    </xf>
    <xf numFmtId="0" fontId="79" fillId="28" borderId="3" xfId="0" applyFont="1" applyFill="1" applyBorder="1" applyAlignment="1">
      <alignment horizontal="center"/>
    </xf>
    <xf numFmtId="0" fontId="79" fillId="29" borderId="4" xfId="0" applyFont="1" applyFill="1" applyBorder="1"/>
    <xf numFmtId="3" fontId="5" fillId="0" borderId="203" xfId="0" applyNumberFormat="1" applyFont="1" applyBorder="1" applyAlignment="1">
      <alignment horizontal="right"/>
    </xf>
    <xf numFmtId="3" fontId="5" fillId="35" borderId="203" xfId="0" applyNumberFormat="1" applyFont="1" applyFill="1" applyBorder="1" applyAlignment="1">
      <alignment horizontal="right"/>
    </xf>
    <xf numFmtId="3" fontId="3" fillId="0" borderId="0" xfId="0" applyNumberFormat="1" applyFont="1"/>
    <xf numFmtId="0" fontId="4" fillId="0" borderId="37" xfId="0" applyFont="1" applyBorder="1"/>
    <xf numFmtId="3" fontId="5" fillId="0" borderId="220" xfId="0" applyNumberFormat="1" applyFont="1" applyBorder="1" applyAlignment="1">
      <alignment horizontal="right"/>
    </xf>
    <xf numFmtId="3" fontId="5" fillId="35" borderId="220" xfId="0" applyNumberFormat="1" applyFont="1" applyFill="1" applyBorder="1" applyAlignment="1">
      <alignment horizontal="right"/>
    </xf>
    <xf numFmtId="0" fontId="4" fillId="0" borderId="147" xfId="0" applyFont="1" applyBorder="1"/>
    <xf numFmtId="3" fontId="5" fillId="0" borderId="138" xfId="0" applyNumberFormat="1" applyFont="1" applyBorder="1" applyAlignment="1">
      <alignment horizontal="right"/>
    </xf>
    <xf numFmtId="3" fontId="5" fillId="35" borderId="138" xfId="0" applyNumberFormat="1" applyFont="1" applyFill="1" applyBorder="1" applyAlignment="1">
      <alignment horizontal="right"/>
    </xf>
    <xf numFmtId="3" fontId="5" fillId="0" borderId="243" xfId="0" applyNumberFormat="1" applyFont="1" applyBorder="1" applyAlignment="1">
      <alignment horizontal="right"/>
    </xf>
    <xf numFmtId="3" fontId="5" fillId="35" borderId="243" xfId="0" applyNumberFormat="1" applyFont="1" applyFill="1" applyBorder="1" applyAlignment="1">
      <alignment horizontal="right"/>
    </xf>
    <xf numFmtId="4" fontId="5" fillId="0" borderId="203" xfId="0" applyNumberFormat="1" applyFont="1" applyBorder="1" applyAlignment="1">
      <alignment horizontal="right"/>
    </xf>
    <xf numFmtId="4" fontId="5" fillId="0" borderId="138" xfId="0" applyNumberFormat="1" applyFont="1" applyBorder="1" applyAlignment="1">
      <alignment horizontal="right"/>
    </xf>
    <xf numFmtId="0" fontId="3" fillId="0" borderId="21" xfId="0" applyFont="1" applyBorder="1"/>
    <xf numFmtId="193" fontId="5" fillId="0" borderId="203" xfId="0" applyNumberFormat="1" applyFont="1" applyBorder="1" applyAlignment="1">
      <alignment horizontal="right"/>
    </xf>
    <xf numFmtId="0" fontId="5" fillId="0" borderId="194" xfId="0" applyFont="1" applyBorder="1"/>
    <xf numFmtId="0" fontId="79" fillId="28" borderId="32" xfId="0" applyFont="1" applyFill="1" applyBorder="1" applyAlignment="1">
      <alignment horizontal="left"/>
    </xf>
    <xf numFmtId="0" fontId="79" fillId="28" borderId="3" xfId="0" applyFont="1" applyFill="1" applyBorder="1" applyAlignment="1">
      <alignment horizontal="left"/>
    </xf>
    <xf numFmtId="0" fontId="5" fillId="29" borderId="4" xfId="0" applyFont="1" applyFill="1" applyBorder="1"/>
    <xf numFmtId="0" fontId="79" fillId="0" borderId="4" xfId="0" applyFont="1" applyBorder="1" applyAlignment="1">
      <alignment wrapText="1"/>
    </xf>
    <xf numFmtId="0" fontId="5" fillId="0" borderId="188" xfId="0" applyFont="1" applyBorder="1"/>
    <xf numFmtId="0" fontId="4" fillId="0" borderId="188" xfId="0" applyFont="1" applyBorder="1"/>
    <xf numFmtId="195" fontId="5" fillId="0" borderId="188" xfId="0" applyNumberFormat="1" applyFont="1" applyBorder="1" applyAlignment="1">
      <alignment horizontal="right" wrapText="1"/>
    </xf>
    <xf numFmtId="0" fontId="4" fillId="0" borderId="21" xfId="0" applyFont="1" applyBorder="1"/>
    <xf numFmtId="0" fontId="80" fillId="0" borderId="0" xfId="0" applyFont="1" applyAlignment="1">
      <alignment horizontal="center"/>
    </xf>
    <xf numFmtId="0" fontId="80" fillId="0" borderId="244" xfId="0" applyFont="1" applyBorder="1" applyAlignment="1">
      <alignment horizontal="center"/>
    </xf>
    <xf numFmtId="0" fontId="80" fillId="0" borderId="203" xfId="0" applyFont="1" applyBorder="1" applyAlignment="1">
      <alignment horizontal="center"/>
    </xf>
    <xf numFmtId="0" fontId="80" fillId="0" borderId="224" xfId="0" applyFont="1" applyBorder="1" applyAlignment="1">
      <alignment horizontal="center"/>
    </xf>
    <xf numFmtId="0" fontId="80" fillId="0" borderId="245" xfId="0" applyFont="1" applyBorder="1" applyAlignment="1">
      <alignment horizontal="center"/>
    </xf>
    <xf numFmtId="0" fontId="162" fillId="0" borderId="212" xfId="0" applyFont="1" applyBorder="1" applyAlignment="1">
      <alignment horizontal="right"/>
    </xf>
    <xf numFmtId="0" fontId="162" fillId="0" borderId="29" xfId="0" applyFont="1" applyBorder="1"/>
    <xf numFmtId="0" fontId="162" fillId="0" borderId="3" xfId="0" applyFont="1" applyBorder="1" applyAlignment="1">
      <alignment horizontal="right"/>
    </xf>
    <xf numFmtId="0" fontId="162" fillId="0" borderId="3" xfId="0" applyFont="1" applyBorder="1"/>
    <xf numFmtId="2" fontId="5" fillId="0" borderId="224" xfId="0" applyNumberFormat="1" applyFont="1" applyBorder="1" applyAlignment="1">
      <alignment horizontal="right"/>
    </xf>
    <xf numFmtId="3" fontId="5" fillId="0" borderId="244" xfId="0" applyNumberFormat="1" applyFont="1" applyBorder="1" applyAlignment="1">
      <alignment horizontal="right"/>
    </xf>
    <xf numFmtId="3" fontId="5" fillId="0" borderId="245" xfId="0" applyNumberFormat="1" applyFont="1" applyBorder="1" applyAlignment="1">
      <alignment horizontal="right"/>
    </xf>
    <xf numFmtId="3" fontId="5" fillId="0" borderId="224" xfId="0" applyNumberFormat="1" applyFont="1" applyBorder="1" applyAlignment="1">
      <alignment horizontal="right"/>
    </xf>
    <xf numFmtId="0" fontId="162" fillId="0" borderId="246" xfId="0" applyFont="1" applyBorder="1" applyAlignment="1">
      <alignment horizontal="right"/>
    </xf>
    <xf numFmtId="0" fontId="162" fillId="0" borderId="244" xfId="0" applyFont="1" applyBorder="1"/>
    <xf numFmtId="0" fontId="162" fillId="0" borderId="203" xfId="0" applyFont="1" applyBorder="1" applyAlignment="1">
      <alignment horizontal="right"/>
    </xf>
    <xf numFmtId="0" fontId="162" fillId="0" borderId="203" xfId="0" applyFont="1" applyBorder="1"/>
    <xf numFmtId="0" fontId="5" fillId="0" borderId="246" xfId="0" applyFont="1" applyBorder="1" applyAlignment="1">
      <alignment horizontal="right"/>
    </xf>
    <xf numFmtId="0" fontId="5" fillId="0" borderId="244" xfId="0" applyFont="1" applyBorder="1"/>
    <xf numFmtId="0" fontId="5" fillId="0" borderId="203" xfId="0" applyFont="1" applyBorder="1" applyAlignment="1">
      <alignment horizontal="right"/>
    </xf>
    <xf numFmtId="9" fontId="162" fillId="0" borderId="203" xfId="0" applyNumberFormat="1" applyFont="1" applyBorder="1" applyAlignment="1">
      <alignment horizontal="right"/>
    </xf>
    <xf numFmtId="0" fontId="162" fillId="0" borderId="245" xfId="0" applyFont="1" applyBorder="1"/>
    <xf numFmtId="0" fontId="162" fillId="0" borderId="247" xfId="0" applyFont="1" applyBorder="1"/>
    <xf numFmtId="0" fontId="162" fillId="0" borderId="220" xfId="0" applyFont="1" applyBorder="1" applyAlignment="1">
      <alignment horizontal="right"/>
    </xf>
    <xf numFmtId="0" fontId="162" fillId="0" borderId="220" xfId="0" applyFont="1" applyBorder="1"/>
    <xf numFmtId="2" fontId="5" fillId="0" borderId="183" xfId="0" applyNumberFormat="1" applyFont="1" applyBorder="1" applyAlignment="1">
      <alignment horizontal="right"/>
    </xf>
    <xf numFmtId="3" fontId="5" fillId="0" borderId="247" xfId="0" applyNumberFormat="1" applyFont="1" applyBorder="1" applyAlignment="1">
      <alignment horizontal="right"/>
    </xf>
    <xf numFmtId="3" fontId="5" fillId="0" borderId="193" xfId="0" applyNumberFormat="1" applyFont="1" applyBorder="1" applyAlignment="1">
      <alignment horizontal="right"/>
    </xf>
    <xf numFmtId="3" fontId="5" fillId="0" borderId="183" xfId="0" applyNumberFormat="1" applyFont="1" applyBorder="1" applyAlignment="1">
      <alignment horizontal="right"/>
    </xf>
    <xf numFmtId="0" fontId="80" fillId="0" borderId="4" xfId="0" applyFont="1" applyBorder="1"/>
    <xf numFmtId="189" fontId="79" fillId="0" borderId="4" xfId="0" applyNumberFormat="1" applyFont="1" applyBorder="1" applyAlignment="1">
      <alignment horizontal="center"/>
    </xf>
    <xf numFmtId="49" fontId="162" fillId="0" borderId="4" xfId="0" applyNumberFormat="1" applyFont="1" applyBorder="1"/>
    <xf numFmtId="189" fontId="79" fillId="23" borderId="4" xfId="0" applyNumberFormat="1" applyFont="1" applyFill="1" applyBorder="1" applyAlignment="1">
      <alignment horizontal="center"/>
    </xf>
    <xf numFmtId="0" fontId="12" fillId="0" borderId="0" xfId="0" applyFont="1"/>
    <xf numFmtId="0" fontId="12" fillId="35" borderId="4" xfId="0" applyFont="1" applyFill="1" applyBorder="1" applyAlignment="1">
      <alignment horizontal="center"/>
    </xf>
    <xf numFmtId="0" fontId="12" fillId="23" borderId="4" xfId="0" applyFont="1" applyFill="1" applyBorder="1"/>
    <xf numFmtId="189" fontId="12" fillId="0" borderId="4" xfId="0" applyNumberFormat="1" applyFont="1" applyBorder="1" applyAlignment="1">
      <alignment horizontal="center"/>
    </xf>
    <xf numFmtId="0" fontId="166" fillId="0" borderId="0" xfId="0" applyFont="1"/>
    <xf numFmtId="49" fontId="3" fillId="0" borderId="4" xfId="0" applyNumberFormat="1" applyFont="1" applyBorder="1" applyAlignment="1">
      <alignment horizontal="left"/>
    </xf>
    <xf numFmtId="49" fontId="12" fillId="0" borderId="0" xfId="0" applyNumberFormat="1" applyFont="1"/>
    <xf numFmtId="0" fontId="12" fillId="0" borderId="4" xfId="0" applyFont="1" applyBorder="1" applyAlignment="1">
      <alignment horizontal="left"/>
    </xf>
    <xf numFmtId="0" fontId="14" fillId="2" borderId="60" xfId="0" applyFont="1" applyFill="1" applyBorder="1"/>
    <xf numFmtId="0" fontId="167" fillId="36" borderId="60" xfId="0" applyFont="1" applyFill="1" applyBorder="1"/>
    <xf numFmtId="0" fontId="3" fillId="36" borderId="60" xfId="0" applyFont="1" applyFill="1" applyBorder="1"/>
    <xf numFmtId="0" fontId="3" fillId="36" borderId="0" xfId="0" applyFont="1" applyFill="1"/>
    <xf numFmtId="167" fontId="3" fillId="0" borderId="0" xfId="0" applyNumberFormat="1" applyFont="1"/>
    <xf numFmtId="0" fontId="168" fillId="36" borderId="60" xfId="0" applyFont="1" applyFill="1" applyBorder="1"/>
    <xf numFmtId="2" fontId="3" fillId="0" borderId="0" xfId="0" applyNumberFormat="1" applyFont="1"/>
    <xf numFmtId="0" fontId="169" fillId="37" borderId="60" xfId="0" applyFont="1" applyFill="1" applyBorder="1"/>
    <xf numFmtId="0" fontId="3" fillId="37" borderId="60" xfId="0" applyFont="1" applyFill="1" applyBorder="1"/>
    <xf numFmtId="2" fontId="169" fillId="37" borderId="60" xfId="0" applyNumberFormat="1" applyFont="1" applyFill="1" applyBorder="1"/>
    <xf numFmtId="2" fontId="12" fillId="0" borderId="0" xfId="0" applyNumberFormat="1" applyFont="1"/>
    <xf numFmtId="0" fontId="3" fillId="37" borderId="0" xfId="0" applyFont="1" applyFill="1"/>
    <xf numFmtId="189" fontId="12" fillId="23" borderId="4" xfId="0" applyNumberFormat="1" applyFont="1" applyFill="1" applyBorder="1" applyAlignment="1">
      <alignment horizontal="center"/>
    </xf>
    <xf numFmtId="0" fontId="5" fillId="0" borderId="60" xfId="0" applyFont="1" applyBorder="1"/>
    <xf numFmtId="0" fontId="19" fillId="0" borderId="60" xfId="0" applyFont="1" applyBorder="1"/>
    <xf numFmtId="0" fontId="4" fillId="0" borderId="60" xfId="0" applyFont="1" applyBorder="1"/>
    <xf numFmtId="0" fontId="79" fillId="0" borderId="60" xfId="0" applyFont="1" applyBorder="1" applyAlignment="1">
      <alignment horizontal="right"/>
    </xf>
    <xf numFmtId="0" fontId="5" fillId="0" borderId="60" xfId="0" applyFont="1" applyBorder="1" applyAlignment="1">
      <alignment horizontal="right"/>
    </xf>
    <xf numFmtId="172" fontId="5" fillId="0" borderId="60" xfId="0" applyNumberFormat="1" applyFont="1" applyBorder="1" applyAlignment="1">
      <alignment horizontal="right"/>
    </xf>
    <xf numFmtId="0" fontId="5" fillId="0" borderId="248" xfId="0" applyFont="1" applyBorder="1"/>
    <xf numFmtId="0" fontId="79" fillId="0" borderId="248" xfId="0" applyFont="1" applyBorder="1" applyAlignment="1">
      <alignment horizontal="center" wrapText="1"/>
    </xf>
    <xf numFmtId="0" fontId="79" fillId="0" borderId="248" xfId="0" applyFont="1" applyBorder="1" applyAlignment="1">
      <alignment horizontal="center"/>
    </xf>
    <xf numFmtId="168" fontId="5" fillId="0" borderId="248" xfId="0" applyNumberFormat="1" applyFont="1" applyBorder="1"/>
    <xf numFmtId="0" fontId="5" fillId="0" borderId="248" xfId="0" applyFont="1" applyBorder="1" applyAlignment="1">
      <alignment horizontal="center"/>
    </xf>
    <xf numFmtId="167" fontId="5" fillId="0" borderId="248" xfId="0" applyNumberFormat="1" applyFont="1" applyBorder="1"/>
    <xf numFmtId="0" fontId="8" fillId="0" borderId="249" xfId="0" applyFont="1" applyBorder="1"/>
    <xf numFmtId="0" fontId="19" fillId="0" borderId="249" xfId="0" applyFont="1" applyBorder="1"/>
    <xf numFmtId="0" fontId="7" fillId="2" borderId="250" xfId="0" applyFont="1" applyFill="1" applyBorder="1"/>
    <xf numFmtId="3" fontId="7" fillId="2" borderId="250" xfId="0" applyNumberFormat="1" applyFont="1" applyFill="1" applyBorder="1" applyAlignment="1">
      <alignment horizontal="right"/>
    </xf>
    <xf numFmtId="0" fontId="7" fillId="0" borderId="60" xfId="0" applyFont="1" applyBorder="1"/>
    <xf numFmtId="3" fontId="7" fillId="0" borderId="60" xfId="0" applyNumberFormat="1" applyFont="1" applyBorder="1" applyAlignment="1">
      <alignment horizontal="right"/>
    </xf>
    <xf numFmtId="0" fontId="3" fillId="0" borderId="2" xfId="0" applyFont="1" applyBorder="1" applyAlignment="1">
      <alignment horizontal="left" indent="2"/>
    </xf>
    <xf numFmtId="0" fontId="12" fillId="0" borderId="80" xfId="0" applyFont="1" applyBorder="1"/>
    <xf numFmtId="0" fontId="6" fillId="0" borderId="90" xfId="0" applyFont="1" applyBorder="1"/>
    <xf numFmtId="0" fontId="12" fillId="0" borderId="54" xfId="0" applyFont="1" applyBorder="1"/>
    <xf numFmtId="0" fontId="6" fillId="0" borderId="33" xfId="0" applyFont="1" applyBorder="1"/>
    <xf numFmtId="0" fontId="5" fillId="2" borderId="2" xfId="0" applyFont="1" applyFill="1" applyBorder="1" applyAlignment="1">
      <alignment horizontal="center"/>
    </xf>
    <xf numFmtId="0" fontId="6" fillId="0" borderId="3" xfId="0" applyFont="1" applyBorder="1"/>
    <xf numFmtId="3" fontId="5" fillId="0" borderId="2" xfId="0" applyNumberFormat="1" applyFont="1" applyBorder="1" applyAlignment="1">
      <alignment horizontal="center"/>
    </xf>
    <xf numFmtId="0" fontId="11" fillId="3" borderId="7" xfId="0" applyFont="1" applyFill="1" applyBorder="1"/>
    <xf numFmtId="0" fontId="6" fillId="0" borderId="8" xfId="0" applyFont="1" applyBorder="1"/>
    <xf numFmtId="0" fontId="3" fillId="0" borderId="10" xfId="0" applyFont="1" applyBorder="1"/>
    <xf numFmtId="0" fontId="6" fillId="0" borderId="11" xfId="0" applyFont="1" applyBorder="1"/>
    <xf numFmtId="0" fontId="34" fillId="0" borderId="0" xfId="0" applyFont="1"/>
    <xf numFmtId="0" fontId="0" fillId="0" borderId="0" xfId="0"/>
    <xf numFmtId="0" fontId="23" fillId="0" borderId="0" xfId="0" applyFont="1"/>
    <xf numFmtId="0" fontId="42" fillId="0" borderId="0" xfId="0" applyFont="1"/>
    <xf numFmtId="0" fontId="4" fillId="2" borderId="2" xfId="0" applyFont="1" applyFill="1" applyBorder="1" applyAlignment="1">
      <alignment horizontal="center"/>
    </xf>
    <xf numFmtId="0" fontId="18" fillId="6" borderId="22" xfId="0" applyFont="1" applyFill="1" applyBorder="1"/>
    <xf numFmtId="0" fontId="6" fillId="0" borderId="24" xfId="0" applyFont="1" applyBorder="1"/>
    <xf numFmtId="0" fontId="38" fillId="0" borderId="0" xfId="0" applyFont="1"/>
    <xf numFmtId="0" fontId="18" fillId="0" borderId="12" xfId="0" applyFont="1" applyBorder="1"/>
    <xf numFmtId="0" fontId="6" fillId="0" borderId="27" xfId="0" applyFont="1" applyBorder="1"/>
    <xf numFmtId="0" fontId="6" fillId="0" borderId="86" xfId="0" applyFont="1" applyBorder="1"/>
    <xf numFmtId="168" fontId="18" fillId="12" borderId="22" xfId="0" applyNumberFormat="1" applyFont="1" applyFill="1" applyBorder="1"/>
    <xf numFmtId="0" fontId="6" fillId="0" borderId="60" xfId="0" applyFont="1" applyBorder="1"/>
    <xf numFmtId="0" fontId="18" fillId="12" borderId="22" xfId="0" applyFont="1" applyFill="1" applyBorder="1"/>
    <xf numFmtId="0" fontId="41" fillId="0" borderId="64" xfId="0" applyFont="1" applyBorder="1"/>
    <xf numFmtId="0" fontId="6" fillId="0" borderId="65" xfId="0" applyFont="1" applyBorder="1"/>
    <xf numFmtId="0" fontId="6" fillId="0" borderId="66" xfId="0" applyFont="1" applyBorder="1"/>
    <xf numFmtId="0" fontId="40" fillId="0" borderId="64" xfId="0" applyFont="1" applyBorder="1"/>
    <xf numFmtId="0" fontId="18" fillId="0" borderId="74" xfId="0" applyFont="1" applyBorder="1"/>
    <xf numFmtId="0" fontId="6" fillId="0" borderId="77" xfId="0" applyFont="1" applyBorder="1"/>
    <xf numFmtId="0" fontId="18" fillId="0" borderId="49" xfId="0" applyFont="1" applyBorder="1" applyAlignment="1">
      <alignment horizontal="center"/>
    </xf>
    <xf numFmtId="0" fontId="6" fillId="0" borderId="50" xfId="0" applyFont="1" applyBorder="1"/>
    <xf numFmtId="0" fontId="6" fillId="0" borderId="82" xfId="0" applyFont="1" applyBorder="1"/>
    <xf numFmtId="0" fontId="21" fillId="0" borderId="0" xfId="0" applyFont="1"/>
    <xf numFmtId="0" fontId="58" fillId="0" borderId="0" xfId="0" applyFont="1" applyAlignment="1">
      <alignment horizontal="left" wrapText="1"/>
    </xf>
    <xf numFmtId="0" fontId="14" fillId="0" borderId="6" xfId="0" applyFont="1" applyBorder="1"/>
    <xf numFmtId="0" fontId="6" fillId="0" borderId="57" xfId="0" applyFont="1" applyBorder="1"/>
    <xf numFmtId="180" fontId="18" fillId="0" borderId="61" xfId="0" applyNumberFormat="1" applyFont="1" applyBorder="1"/>
    <xf numFmtId="0" fontId="14" fillId="0" borderId="58" xfId="0" applyFont="1" applyBorder="1"/>
    <xf numFmtId="0" fontId="6" fillId="0" borderId="59" xfId="0" applyFont="1" applyBorder="1"/>
    <xf numFmtId="180" fontId="14" fillId="0" borderId="58" xfId="0" applyNumberFormat="1" applyFont="1" applyBorder="1" applyAlignment="1">
      <alignment horizontal="left"/>
    </xf>
    <xf numFmtId="0" fontId="14" fillId="0" borderId="80" xfId="0" applyFont="1" applyBorder="1"/>
    <xf numFmtId="180" fontId="14" fillId="0" borderId="80" xfId="0" applyNumberFormat="1" applyFont="1" applyBorder="1" applyAlignment="1">
      <alignment horizontal="left"/>
    </xf>
    <xf numFmtId="180" fontId="14" fillId="0" borderId="61" xfId="0" applyNumberFormat="1" applyFont="1" applyBorder="1" applyAlignment="1">
      <alignment horizontal="left"/>
    </xf>
    <xf numFmtId="0" fontId="14" fillId="0" borderId="61" xfId="0" applyFont="1" applyBorder="1"/>
    <xf numFmtId="0" fontId="61" fillId="13" borderId="144" xfId="0" applyFont="1" applyFill="1" applyBorder="1"/>
    <xf numFmtId="180" fontId="14" fillId="0" borderId="52" xfId="0" applyNumberFormat="1" applyFont="1" applyBorder="1" applyAlignment="1">
      <alignment horizontal="left"/>
    </xf>
    <xf numFmtId="0" fontId="6" fillId="0" borderId="53" xfId="0" applyFont="1" applyBorder="1"/>
    <xf numFmtId="0" fontId="14" fillId="0" borderId="27" xfId="0" applyFont="1" applyBorder="1"/>
    <xf numFmtId="0" fontId="14" fillId="0" borderId="86" xfId="0" applyFont="1" applyBorder="1"/>
    <xf numFmtId="168" fontId="14" fillId="0" borderId="61" xfId="0" applyNumberFormat="1" applyFont="1" applyBorder="1"/>
    <xf numFmtId="168" fontId="14" fillId="0" borderId="58" xfId="0" applyNumberFormat="1" applyFont="1" applyBorder="1"/>
    <xf numFmtId="0" fontId="77" fillId="17" borderId="129" xfId="0" applyFont="1" applyFill="1" applyBorder="1" applyAlignment="1">
      <alignment horizontal="center" wrapText="1"/>
    </xf>
    <xf numFmtId="0" fontId="6" fillId="0" borderId="104" xfId="0" applyFont="1" applyBorder="1"/>
    <xf numFmtId="0" fontId="14" fillId="0" borderId="129" xfId="0" applyFont="1" applyBorder="1" applyAlignment="1">
      <alignment horizontal="center" wrapText="1"/>
    </xf>
    <xf numFmtId="0" fontId="12" fillId="0" borderId="27" xfId="0" applyFont="1" applyBorder="1"/>
    <xf numFmtId="180" fontId="12" fillId="7" borderId="149" xfId="0" applyNumberFormat="1" applyFont="1" applyFill="1" applyBorder="1" applyAlignment="1">
      <alignment horizontal="left"/>
    </xf>
    <xf numFmtId="0" fontId="6" fillId="0" borderId="150" xfId="0" applyFont="1" applyBorder="1"/>
    <xf numFmtId="0" fontId="3" fillId="0" borderId="27" xfId="0" applyFont="1" applyBorder="1"/>
    <xf numFmtId="180" fontId="3" fillId="0" borderId="58" xfId="0" applyNumberFormat="1" applyFont="1" applyBorder="1" applyAlignment="1">
      <alignment horizontal="left"/>
    </xf>
    <xf numFmtId="0" fontId="12" fillId="9" borderId="154" xfId="0" applyFont="1" applyFill="1" applyBorder="1"/>
    <xf numFmtId="0" fontId="6" fillId="0" borderId="155" xfId="0" applyFont="1" applyBorder="1"/>
    <xf numFmtId="0" fontId="6" fillId="0" borderId="156" xfId="0" applyFont="1" applyBorder="1"/>
    <xf numFmtId="0" fontId="12" fillId="0" borderId="34" xfId="0" applyFont="1" applyBorder="1"/>
    <xf numFmtId="0" fontId="3" fillId="0" borderId="6" xfId="0" applyFont="1" applyBorder="1"/>
    <xf numFmtId="0" fontId="6" fillId="0" borderId="6" xfId="0" applyFont="1" applyBorder="1"/>
    <xf numFmtId="0" fontId="77" fillId="17" borderId="149" xfId="0" applyFont="1" applyFill="1" applyBorder="1" applyAlignment="1">
      <alignment horizontal="center" vertical="center" wrapText="1"/>
    </xf>
    <xf numFmtId="0" fontId="19" fillId="0" borderId="0" xfId="0" applyFont="1" applyAlignment="1">
      <alignment wrapText="1"/>
    </xf>
    <xf numFmtId="0" fontId="23" fillId="0" borderId="125" xfId="0" applyFont="1" applyBorder="1"/>
    <xf numFmtId="0" fontId="6" fillId="0" borderId="125" xfId="0" applyFont="1" applyBorder="1"/>
    <xf numFmtId="0" fontId="44" fillId="0" borderId="120" xfId="0" applyFont="1" applyBorder="1" applyAlignment="1">
      <alignment horizontal="center" wrapText="1"/>
    </xf>
    <xf numFmtId="0" fontId="19" fillId="0" borderId="0" xfId="0" applyFont="1"/>
    <xf numFmtId="0" fontId="58" fillId="0" borderId="0" xfId="0" applyFont="1"/>
    <xf numFmtId="0" fontId="160" fillId="15" borderId="212" xfId="0" applyFont="1" applyFill="1" applyBorder="1"/>
    <xf numFmtId="0" fontId="161" fillId="0" borderId="32" xfId="0" applyFont="1" applyBorder="1"/>
    <xf numFmtId="0" fontId="161" fillId="0" borderId="3" xfId="0" applyFont="1" applyBorder="1"/>
    <xf numFmtId="0" fontId="50" fillId="2" borderId="221" xfId="0" applyFont="1" applyFill="1" applyBorder="1" applyAlignment="1">
      <alignment horizontal="center" vertical="top" wrapText="1"/>
    </xf>
    <xf numFmtId="0" fontId="6" fillId="0" borderId="222" xfId="0" applyFont="1" applyBorder="1"/>
    <xf numFmtId="0" fontId="49" fillId="0" borderId="0" xfId="0" applyFont="1" applyAlignment="1">
      <alignment horizontal="right" wrapText="1"/>
    </xf>
    <xf numFmtId="0" fontId="44" fillId="0" borderId="0" xfId="0" applyFont="1"/>
    <xf numFmtId="9" fontId="50" fillId="0" borderId="50" xfId="0" applyNumberFormat="1" applyFont="1" applyBorder="1" applyAlignment="1">
      <alignment horizontal="center"/>
    </xf>
    <xf numFmtId="0" fontId="50" fillId="0" borderId="0" xfId="0" applyFont="1" applyAlignment="1">
      <alignment horizontal="center"/>
    </xf>
    <xf numFmtId="0" fontId="50" fillId="0" borderId="50" xfId="0" applyFont="1" applyBorder="1" applyAlignment="1">
      <alignment horizontal="center" vertical="top" wrapText="1"/>
    </xf>
    <xf numFmtId="0" fontId="50" fillId="0" borderId="0" xfId="0" applyFont="1" applyAlignment="1">
      <alignment horizontal="center" vertical="top" wrapText="1"/>
    </xf>
    <xf numFmtId="0" fontId="91" fillId="15" borderId="2" xfId="0" applyFont="1" applyFill="1" applyBorder="1" applyAlignment="1">
      <alignment wrapText="1"/>
    </xf>
    <xf numFmtId="0" fontId="6" fillId="0" borderId="32" xfId="0" applyFont="1" applyBorder="1"/>
    <xf numFmtId="0" fontId="17" fillId="0" borderId="2" xfId="0" applyFont="1" applyBorder="1"/>
    <xf numFmtId="3" fontId="33" fillId="22" borderId="2" xfId="0" applyNumberFormat="1" applyFont="1" applyFill="1" applyBorder="1"/>
    <xf numFmtId="0" fontId="17" fillId="14" borderId="2" xfId="0" applyFont="1" applyFill="1" applyBorder="1"/>
    <xf numFmtId="0" fontId="33" fillId="0" borderId="2" xfId="0" applyFont="1" applyBorder="1"/>
    <xf numFmtId="3" fontId="33" fillId="0" borderId="2" xfId="0" applyNumberFormat="1" applyFont="1" applyBorder="1"/>
    <xf numFmtId="0" fontId="32" fillId="18" borderId="2" xfId="0" applyFont="1" applyFill="1" applyBorder="1"/>
    <xf numFmtId="0" fontId="32" fillId="0" borderId="2" xfId="0" applyFont="1" applyBorder="1"/>
    <xf numFmtId="0" fontId="32" fillId="6" borderId="2" xfId="0" applyFont="1" applyFill="1" applyBorder="1"/>
    <xf numFmtId="3" fontId="23" fillId="0" borderId="2" xfId="0" applyNumberFormat="1" applyFont="1" applyBorder="1"/>
    <xf numFmtId="0" fontId="32" fillId="21" borderId="2" xfId="0" applyFont="1" applyFill="1" applyBorder="1"/>
    <xf numFmtId="3" fontId="32" fillId="26" borderId="2" xfId="0" applyNumberFormat="1" applyFont="1" applyFill="1" applyBorder="1"/>
    <xf numFmtId="3" fontId="32" fillId="0" borderId="2" xfId="0" applyNumberFormat="1" applyFont="1" applyBorder="1"/>
    <xf numFmtId="0" fontId="32" fillId="14" borderId="2" xfId="0" applyFont="1" applyFill="1" applyBorder="1"/>
    <xf numFmtId="0" fontId="17" fillId="27" borderId="2" xfId="0" applyFont="1" applyFill="1" applyBorder="1"/>
    <xf numFmtId="0" fontId="32" fillId="27" borderId="2" xfId="0" applyFont="1" applyFill="1" applyBorder="1"/>
    <xf numFmtId="0" fontId="32" fillId="7" borderId="2" xfId="0" applyFont="1" applyFill="1" applyBorder="1"/>
    <xf numFmtId="0" fontId="23" fillId="0" borderId="2" xfId="0" applyFont="1" applyBorder="1"/>
    <xf numFmtId="0" fontId="27" fillId="26" borderId="2" xfId="0" applyFont="1" applyFill="1" applyBorder="1"/>
    <xf numFmtId="0" fontId="109" fillId="0" borderId="2" xfId="0" applyFont="1" applyBorder="1"/>
    <xf numFmtId="0" fontId="32" fillId="30" borderId="2" xfId="0" applyFont="1" applyFill="1" applyBorder="1"/>
    <xf numFmtId="0" fontId="27" fillId="0" borderId="2" xfId="0" applyFont="1" applyBorder="1"/>
    <xf numFmtId="0" fontId="23" fillId="31" borderId="2" xfId="0" applyFont="1" applyFill="1" applyBorder="1"/>
    <xf numFmtId="0" fontId="98" fillId="20" borderId="52" xfId="0" applyFont="1" applyFill="1" applyBorder="1" applyAlignment="1">
      <alignment vertical="center"/>
    </xf>
    <xf numFmtId="0" fontId="6" fillId="0" borderId="20" xfId="0" applyFont="1" applyBorder="1"/>
    <xf numFmtId="0" fontId="103" fillId="0" borderId="207" xfId="0" applyFont="1" applyBorder="1" applyAlignment="1">
      <alignment horizontal="center" wrapText="1"/>
    </xf>
    <xf numFmtId="0" fontId="6" fillId="0" borderId="208" xfId="0" applyFont="1" applyBorder="1"/>
    <xf numFmtId="0" fontId="6" fillId="0" borderId="209" xfId="0" applyFont="1" applyBorder="1"/>
    <xf numFmtId="0" fontId="44" fillId="0" borderId="0" xfId="0" applyFont="1" applyAlignment="1">
      <alignment horizontal="left" wrapText="1"/>
    </xf>
    <xf numFmtId="0" fontId="80" fillId="32" borderId="10" xfId="0" applyFont="1" applyFill="1" applyBorder="1" applyAlignment="1">
      <alignment horizontal="center"/>
    </xf>
    <xf numFmtId="0" fontId="6" fillId="0" borderId="28" xfId="0" applyFont="1" applyBorder="1"/>
    <xf numFmtId="0" fontId="80" fillId="26" borderId="10" xfId="0" applyFont="1" applyFill="1" applyBorder="1" applyAlignment="1">
      <alignment horizontal="center"/>
    </xf>
    <xf numFmtId="0" fontId="80" fillId="34" borderId="10" xfId="0" applyFont="1" applyFill="1" applyBorder="1" applyAlignment="1">
      <alignment horizontal="center"/>
    </xf>
    <xf numFmtId="0" fontId="4" fillId="2" borderId="212" xfId="0" applyFont="1" applyFill="1" applyBorder="1" applyAlignment="1">
      <alignment horizontal="center"/>
    </xf>
    <xf numFmtId="0" fontId="108" fillId="0" borderId="0" xfId="0" applyFont="1"/>
    <xf numFmtId="0" fontId="80" fillId="33" borderId="10" xfId="0" applyFont="1" applyFill="1" applyBorder="1" applyAlignment="1">
      <alignment horizontal="center"/>
    </xf>
    <xf numFmtId="0" fontId="171" fillId="0" borderId="251" xfId="0" applyFont="1" applyBorder="1"/>
    <xf numFmtId="0" fontId="172" fillId="0" borderId="252" xfId="0" applyFont="1" applyBorder="1" applyAlignment="1">
      <alignment horizontal="center"/>
    </xf>
    <xf numFmtId="0" fontId="172" fillId="0" borderId="253" xfId="0" applyFont="1" applyBorder="1" applyAlignment="1">
      <alignment horizontal="center"/>
    </xf>
    <xf numFmtId="0" fontId="172" fillId="0" borderId="254" xfId="0" applyFont="1" applyBorder="1"/>
    <xf numFmtId="0" fontId="172" fillId="0" borderId="255" xfId="0" applyFont="1" applyBorder="1" applyAlignment="1">
      <alignment horizontal="center"/>
    </xf>
    <xf numFmtId="0" fontId="172" fillId="0" borderId="256" xfId="0" applyFont="1" applyBorder="1" applyAlignment="1">
      <alignment horizontal="center"/>
    </xf>
    <xf numFmtId="0" fontId="171" fillId="0" borderId="77" xfId="0" applyFont="1" applyBorder="1"/>
    <xf numFmtId="167" fontId="171" fillId="0" borderId="147" xfId="0" applyNumberFormat="1" applyFont="1" applyBorder="1"/>
    <xf numFmtId="167" fontId="171" fillId="0" borderId="79" xfId="0" applyNumberFormat="1" applyFont="1" applyBorder="1"/>
    <xf numFmtId="0" fontId="171" fillId="0" borderId="62" xfId="0" applyFont="1" applyBorder="1"/>
    <xf numFmtId="167" fontId="171" fillId="0" borderId="4" xfId="0" applyNumberFormat="1" applyFont="1" applyBorder="1"/>
    <xf numFmtId="167" fontId="171" fillId="0" borderId="81" xfId="0" applyNumberFormat="1" applyFont="1" applyBorder="1"/>
    <xf numFmtId="0" fontId="171" fillId="0" borderId="257" xfId="0" applyFont="1" applyBorder="1"/>
    <xf numFmtId="167" fontId="171" fillId="0" borderId="37" xfId="0" applyNumberFormat="1" applyFont="1" applyBorder="1"/>
    <xf numFmtId="167" fontId="171" fillId="0" borderId="123" xfId="0" applyNumberFormat="1" applyFont="1" applyBorder="1"/>
    <xf numFmtId="0" fontId="171" fillId="0" borderId="49" xfId="0" applyFont="1" applyBorder="1"/>
    <xf numFmtId="0" fontId="171" fillId="0" borderId="222" xfId="0" applyFont="1" applyBorder="1"/>
    <xf numFmtId="0" fontId="172" fillId="23" borderId="142" xfId="0" applyFont="1" applyFill="1" applyBorder="1" applyAlignment="1">
      <alignment horizontal="center"/>
    </xf>
    <xf numFmtId="43" fontId="172" fillId="23" borderId="258" xfId="0" applyNumberFormat="1" applyFont="1" applyFill="1" applyBorder="1"/>
    <xf numFmtId="0" fontId="172" fillId="0" borderId="259" xfId="0" applyFont="1" applyBorder="1" applyAlignment="1">
      <alignment horizontal="center"/>
    </xf>
    <xf numFmtId="0" fontId="172" fillId="0" borderId="260" xfId="0" applyFont="1" applyBorder="1" applyAlignment="1">
      <alignment horizontal="center"/>
    </xf>
    <xf numFmtId="0" fontId="172" fillId="0" borderId="261" xfId="0" applyFont="1" applyBorder="1" applyAlignment="1">
      <alignment horizontal="center"/>
    </xf>
    <xf numFmtId="0" fontId="172" fillId="0" borderId="262" xfId="0" applyFont="1" applyBorder="1" applyAlignment="1">
      <alignment horizontal="center"/>
    </xf>
    <xf numFmtId="167" fontId="171" fillId="0" borderId="147" xfId="0" applyNumberFormat="1" applyFont="1" applyBorder="1" applyAlignment="1">
      <alignment horizontal="right"/>
    </xf>
    <xf numFmtId="167" fontId="171" fillId="0" borderId="246" xfId="0" applyNumberFormat="1" applyFont="1" applyBorder="1" applyAlignment="1">
      <alignment horizontal="right"/>
    </xf>
    <xf numFmtId="167" fontId="171" fillId="0" borderId="263" xfId="0" applyNumberFormat="1" applyFont="1" applyBorder="1" applyAlignment="1">
      <alignment horizontal="right"/>
    </xf>
    <xf numFmtId="167" fontId="171" fillId="0" borderId="4" xfId="0" applyNumberFormat="1" applyFont="1" applyBorder="1" applyAlignment="1">
      <alignment horizontal="right"/>
    </xf>
    <xf numFmtId="167" fontId="171" fillId="0" borderId="212" xfId="0" applyNumberFormat="1" applyFont="1" applyBorder="1" applyAlignment="1">
      <alignment horizontal="right"/>
    </xf>
    <xf numFmtId="167" fontId="171" fillId="0" borderId="106" xfId="0" applyNumberFormat="1" applyFont="1" applyBorder="1" applyAlignment="1">
      <alignment horizontal="right"/>
    </xf>
    <xf numFmtId="167" fontId="171" fillId="0" borderId="38" xfId="0" applyNumberFormat="1" applyFont="1" applyBorder="1"/>
    <xf numFmtId="167" fontId="171" fillId="0" borderId="264" xfId="0" applyNumberFormat="1" applyFont="1" applyBorder="1"/>
    <xf numFmtId="43" fontId="172" fillId="23" borderId="258" xfId="0" applyNumberFormat="1" applyFont="1" applyFill="1" applyBorder="1" applyAlignment="1">
      <alignment horizontal="right"/>
    </xf>
    <xf numFmtId="0" fontId="2" fillId="0" borderId="60" xfId="0" applyFont="1" applyFill="1" applyBorder="1"/>
    <xf numFmtId="0" fontId="170" fillId="0" borderId="0" xfId="0" applyFont="1"/>
    <xf numFmtId="0" fontId="45" fillId="0" borderId="60" xfId="0" applyFont="1" applyFill="1" applyBorder="1"/>
    <xf numFmtId="0" fontId="173" fillId="0" borderId="251" xfId="0" applyFont="1" applyBorder="1"/>
    <xf numFmtId="0" fontId="174" fillId="0" borderId="252" xfId="0" applyFont="1" applyBorder="1" applyAlignment="1">
      <alignment horizontal="center"/>
    </xf>
    <xf numFmtId="0" fontId="174" fillId="0" borderId="259" xfId="0" applyFont="1" applyBorder="1" applyAlignment="1">
      <alignment horizontal="center"/>
    </xf>
    <xf numFmtId="0" fontId="174" fillId="0" borderId="260" xfId="0" applyFont="1" applyBorder="1" applyAlignment="1">
      <alignment horizontal="center"/>
    </xf>
    <xf numFmtId="0" fontId="174" fillId="0" borderId="254" xfId="0" applyFont="1" applyBorder="1"/>
    <xf numFmtId="0" fontId="174" fillId="0" borderId="255" xfId="0" applyFont="1" applyBorder="1" applyAlignment="1">
      <alignment horizontal="center"/>
    </xf>
    <xf numFmtId="0" fontId="174" fillId="0" borderId="261" xfId="0" applyFont="1" applyBorder="1" applyAlignment="1">
      <alignment horizontal="center"/>
    </xf>
    <xf numFmtId="0" fontId="174" fillId="0" borderId="262" xfId="0" applyFont="1" applyBorder="1" applyAlignment="1">
      <alignment horizontal="center"/>
    </xf>
    <xf numFmtId="0" fontId="173" fillId="0" borderId="77" xfId="0" applyFont="1" applyBorder="1"/>
    <xf numFmtId="167" fontId="173" fillId="0" borderId="147" xfId="0" applyNumberFormat="1" applyFont="1" applyBorder="1" applyAlignment="1">
      <alignment horizontal="right"/>
    </xf>
    <xf numFmtId="167" fontId="173" fillId="0" borderId="246" xfId="0" applyNumberFormat="1" applyFont="1" applyBorder="1" applyAlignment="1">
      <alignment horizontal="right"/>
    </xf>
    <xf numFmtId="167" fontId="173" fillId="0" borderId="263" xfId="0" applyNumberFormat="1" applyFont="1" applyBorder="1" applyAlignment="1">
      <alignment horizontal="right"/>
    </xf>
    <xf numFmtId="0" fontId="173" fillId="0" borderId="62" xfId="0" applyFont="1" applyBorder="1"/>
    <xf numFmtId="0" fontId="173" fillId="0" borderId="257" xfId="0" applyFont="1" applyBorder="1"/>
    <xf numFmtId="167" fontId="173" fillId="0" borderId="87" xfId="0" applyNumberFormat="1" applyFont="1" applyBorder="1" applyAlignment="1">
      <alignment horizontal="right"/>
    </xf>
    <xf numFmtId="167" fontId="173" fillId="0" borderId="265" xfId="0" applyNumberFormat="1" applyFont="1" applyBorder="1" applyAlignment="1">
      <alignment horizontal="right"/>
    </xf>
    <xf numFmtId="167" fontId="173" fillId="0" borderId="266" xfId="0" applyNumberFormat="1" applyFont="1" applyBorder="1" applyAlignment="1">
      <alignment horizontal="right"/>
    </xf>
    <xf numFmtId="0" fontId="173" fillId="0" borderId="49" xfId="0" applyFont="1" applyBorder="1"/>
    <xf numFmtId="0" fontId="173" fillId="0" borderId="222" xfId="0" applyFont="1" applyBorder="1"/>
    <xf numFmtId="0" fontId="174" fillId="23" borderId="142" xfId="0" applyFont="1" applyFill="1" applyBorder="1" applyAlignment="1">
      <alignment horizontal="center"/>
    </xf>
    <xf numFmtId="43" fontId="174" fillId="23" borderId="258" xfId="0" applyNumberFormat="1" applyFont="1" applyFill="1" applyBorder="1" applyAlignment="1">
      <alignment horizontal="right"/>
    </xf>
    <xf numFmtId="0" fontId="173" fillId="0" borderId="0" xfId="0" applyFont="1"/>
    <xf numFmtId="0" fontId="5" fillId="0" borderId="60" xfId="1" applyFont="1"/>
    <xf numFmtId="176" fontId="5" fillId="0" borderId="60" xfId="1" applyNumberFormat="1" applyFont="1"/>
    <xf numFmtId="0" fontId="170" fillId="0" borderId="60" xfId="1"/>
    <xf numFmtId="167" fontId="5" fillId="0" borderId="60" xfId="1" applyNumberFormat="1" applyFont="1"/>
    <xf numFmtId="176" fontId="99" fillId="0" borderId="60" xfId="1" applyNumberFormat="1" applyFont="1"/>
  </cellXfs>
  <cellStyles count="2">
    <cellStyle name="Normal" xfId="0" builtinId="0"/>
    <cellStyle name="Normal 2" xfId="1" xr:uid="{08D1A6A9-CA93-4F3D-B258-DDFFC09CC64A}"/>
  </cellStyles>
  <dxfs count="2">
    <dxf>
      <fill>
        <patternFill patternType="solid">
          <fgColor rgb="FFFFFF99"/>
          <bgColor rgb="FFFFFF99"/>
        </patternFill>
      </fill>
    </dxf>
    <dxf>
      <font>
        <color rgb="FFFFFFF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3"/></Relationships>
</file>

<file path=xl/_rels/comments3.xml.rels><?xml version="1.0" encoding="UTF-8" standalone="yes"?>
<Relationships xmlns="http://schemas.openxmlformats.org/package/2006/relationships"><Relationship Id="rId1" Type="http://customschemas.google.com/relationships/workbookmetadata" Target="commentsmeta1"/></Relationships>
</file>

<file path=xl/_rels/comments4.xml.rels><?xml version="1.0" encoding="UTF-8" standalone="yes"?>
<Relationships xmlns="http://schemas.openxmlformats.org/package/2006/relationships"><Relationship Id="rId1" Type="http://customschemas.google.com/relationships/workbookmetadata" Target="commentsmeta2"/></Relationships>
</file>

<file path=xl/_rels/comments5.xml.rels><?xml version="1.0" encoding="UTF-8" standalone="yes"?>
<Relationships xmlns="http://schemas.openxmlformats.org/package/2006/relationships"><Relationship Id="rId1" Type="http://customschemas.google.com/relationships/workbookmetadata" Target="commentsmeta4"/></Relationships>
</file>

<file path=xl/_rels/comments6.xml.rels><?xml version="1.0" encoding="UTF-8" standalone="yes"?>
<Relationships xmlns="http://schemas.openxmlformats.org/package/2006/relationships"><Relationship Id="rId1" Type="http://customschemas.google.com/relationships/workbookmetadata" Target="commentsmeta8"/></Relationships>
</file>

<file path=xl/_rels/comments7.xml.rels><?xml version="1.0" encoding="UTF-8" standalone="yes"?>
<Relationships xmlns="http://schemas.openxmlformats.org/package/2006/relationships"><Relationship Id="rId1" Type="http://customschemas.google.com/relationships/workbookmetadata" Target="commentsmeta10"/></Relationships>
</file>

<file path=xl/_rels/comments8.xml.rels><?xml version="1.0" encoding="UTF-8" standalone="yes"?>
<Relationships xmlns="http://schemas.openxmlformats.org/package/2006/relationships"><Relationship Id="rId1" Type="http://customschemas.google.com/relationships/workbookmetadata" Target="commentsmeta5"/></Relationships>
</file>

<file path=xl/_rels/comments9.xml.rels><?xml version="1.0" encoding="UTF-8" standalone="yes"?>
<Relationships xmlns="http://schemas.openxmlformats.org/package/2006/relationships"><Relationship Id="rId1" Type="http://customschemas.google.com/relationships/workbookmetadata" Target="commentsmeta6"/></Relationships>
</file>

<file path=xl/_rels/comments10.xml.rels><?xml version="1.0" encoding="UTF-8" standalone="yes"?>
<Relationships xmlns="http://schemas.openxmlformats.org/package/2006/relationships"><Relationship Id="rId1" Type="http://customschemas.google.com/relationships/workbookmetadata" Target="commentsmeta7"/></Relationships>
</file>

<file path=xl/_rels/comments11.xml.rels><?xml version="1.0" encoding="UTF-8" standalone="yes"?>
<Relationships xmlns="http://schemas.openxmlformats.org/package/2006/relationships"><Relationship Id="rId1" Type="http://customschemas.google.com/relationships/workbookmetadata" Target="commentsmeta11"/></Relationships>
</file>

<file path=xl/_rels/comments14.xml.rels><?xml version="1.0" encoding="UTF-8" standalone="yes"?>
<Relationships xmlns="http://schemas.openxmlformats.org/package/2006/relationships"><Relationship Id="rId1" Type="http://customschemas.google.com/relationships/workbookmetadata" Target="commentsmeta9"/></Relationships>
</file>

<file path=xl/_rels/comments15.xml.rels><?xml version="1.0" encoding="UTF-8" standalone="yes"?>
<Relationships xmlns="http://schemas.openxmlformats.org/package/2006/relationships"><Relationship Id="rId1" Type="http://customschemas.google.com/relationships/workbookmetadata" Target="commentsmeta14"/></Relationships>
</file>

<file path=xl/_rels/comments16.xml.rels><?xml version="1.0" encoding="UTF-8" standalone="yes"?>
<Relationships xmlns="http://schemas.openxmlformats.org/package/2006/relationships"><Relationship Id="rId1" Type="http://customschemas.google.com/relationships/workbookmetadata" Target="commentsmeta12"/></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customschemas.google.com/relationships/workbookmetadata" Target="metadata"/><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3.xml.rels><?xml version="1.0" encoding="UTF-8" standalone="yes"?>
<Relationships xmlns="http://schemas.openxmlformats.org/package/2006/relationships"><Relationship Id="rId3" Type="http://schemas.openxmlformats.org/officeDocument/2006/relationships/hyperlink" Target="https://dnr.maryland.gov/forests/pages/fire/index.aspx" TargetMode="External"/><Relationship Id="rId2" Type="http://schemas.openxmlformats.org/officeDocument/2006/relationships/hyperlink" Target="https://www.fs.usda.gov/rds/archive/catalog/RDS-2026-0031" TargetMode="External"/><Relationship Id="rId1" Type="http://schemas.openxmlformats.org/officeDocument/2006/relationships/hyperlink" Target="https://research.fs.usda.gov/treesearch/80890" TargetMode="External"/><Relationship Id="rId5" Type="http://schemas.openxmlformats.org/officeDocument/2006/relationships/comments" Target="../comments18.xml"/><Relationship Id="rId4" Type="http://schemas.openxmlformats.org/officeDocument/2006/relationships/vmlDrawing" Target="../drawings/vmlDrawing1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5"/>
  <sheetViews>
    <sheetView showGridLines="0" tabSelected="1" workbookViewId="0"/>
  </sheetViews>
  <sheetFormatPr defaultColWidth="16.83203125" defaultRowHeight="11.25" x14ac:dyDescent="0.2"/>
  <cols>
    <col min="1" max="1" width="4.5" customWidth="1"/>
    <col min="2" max="2" width="8" customWidth="1"/>
    <col min="3" max="3" width="75.83203125" customWidth="1"/>
    <col min="4" max="5" width="16.83203125" customWidth="1"/>
    <col min="6" max="6" width="10.6640625" customWidth="1"/>
    <col min="7" max="7" width="16.33203125" customWidth="1"/>
    <col min="8" max="8" width="8.83203125" customWidth="1"/>
  </cols>
  <sheetData>
    <row r="1" spans="1:8" ht="18.75" x14ac:dyDescent="0.3">
      <c r="B1" s="1" t="s">
        <v>0</v>
      </c>
    </row>
    <row r="2" spans="1:8" ht="15" x14ac:dyDescent="0.25">
      <c r="A2" s="2"/>
      <c r="B2" s="3"/>
      <c r="C2" s="4"/>
      <c r="D2" s="1758" t="s">
        <v>1</v>
      </c>
      <c r="E2" s="1759"/>
    </row>
    <row r="3" spans="1:8" ht="15" x14ac:dyDescent="0.25">
      <c r="A3" s="2"/>
      <c r="B3" s="3"/>
      <c r="C3" s="5"/>
      <c r="D3" s="6" t="s">
        <v>1741</v>
      </c>
      <c r="E3" s="7" t="s">
        <v>1699</v>
      </c>
    </row>
    <row r="4" spans="1:8" ht="15" x14ac:dyDescent="0.25">
      <c r="A4" s="2"/>
      <c r="B4" s="3"/>
      <c r="C4" s="8" t="s">
        <v>3</v>
      </c>
      <c r="D4" s="6">
        <v>1</v>
      </c>
      <c r="E4" s="7">
        <v>1</v>
      </c>
    </row>
    <row r="5" spans="1:8" ht="15" x14ac:dyDescent="0.25">
      <c r="A5" s="2"/>
      <c r="B5" s="3"/>
      <c r="C5" s="8" t="s">
        <v>4</v>
      </c>
      <c r="D5" s="9">
        <v>81.2</v>
      </c>
      <c r="E5" s="7">
        <v>27.9</v>
      </c>
      <c r="F5" s="5"/>
      <c r="H5" s="10"/>
    </row>
    <row r="6" spans="1:8" ht="15" x14ac:dyDescent="0.25">
      <c r="A6" s="2"/>
      <c r="B6" s="3"/>
      <c r="C6" s="8" t="s">
        <v>5</v>
      </c>
      <c r="D6" s="6">
        <v>273</v>
      </c>
      <c r="E6" s="7">
        <v>273</v>
      </c>
      <c r="F6" s="5"/>
      <c r="H6" s="10"/>
    </row>
    <row r="7" spans="1:8" ht="15" x14ac:dyDescent="0.25">
      <c r="A7" s="2"/>
      <c r="B7" s="3"/>
      <c r="C7" s="8" t="s">
        <v>7</v>
      </c>
      <c r="D7" s="12">
        <v>18200</v>
      </c>
      <c r="E7" s="12">
        <v>24300</v>
      </c>
      <c r="F7" s="5"/>
      <c r="G7" s="14"/>
      <c r="H7" s="10"/>
    </row>
    <row r="8" spans="1:8" ht="15" x14ac:dyDescent="0.25">
      <c r="A8" s="2"/>
      <c r="B8" s="3"/>
      <c r="C8" s="15" t="s">
        <v>8</v>
      </c>
      <c r="D8" s="1760" t="s">
        <v>9</v>
      </c>
      <c r="E8" s="1759"/>
    </row>
    <row r="9" spans="1:8" ht="18" x14ac:dyDescent="0.35">
      <c r="A9" s="2"/>
      <c r="B9" s="1761" t="s">
        <v>12</v>
      </c>
      <c r="C9" s="1762"/>
      <c r="D9" s="17" t="s">
        <v>13</v>
      </c>
      <c r="E9" s="17" t="s">
        <v>14</v>
      </c>
    </row>
    <row r="10" spans="1:8" ht="18" x14ac:dyDescent="0.35">
      <c r="A10" s="2"/>
      <c r="B10" s="1763" t="s">
        <v>15</v>
      </c>
      <c r="C10" s="1764"/>
      <c r="D10" s="32">
        <f t="shared" ref="D10:E10" si="0">D11+D30+D47+D80</f>
        <v>98.929658267824692</v>
      </c>
      <c r="E10" s="32">
        <f t="shared" si="0"/>
        <v>96.14604928105706</v>
      </c>
    </row>
    <row r="11" spans="1:8" ht="15" x14ac:dyDescent="0.25">
      <c r="A11" s="2"/>
      <c r="B11" s="37" t="s">
        <v>28</v>
      </c>
      <c r="C11" s="39"/>
      <c r="D11" s="44">
        <f t="shared" ref="D11:E11" si="1">D12+D29</f>
        <v>42.479139431028941</v>
      </c>
      <c r="E11" s="44">
        <f t="shared" si="1"/>
        <v>42.46104892495508</v>
      </c>
      <c r="F11" s="2"/>
    </row>
    <row r="12" spans="1:8" ht="15" x14ac:dyDescent="0.25">
      <c r="A12" s="2"/>
      <c r="B12" s="47"/>
      <c r="C12" s="50" t="s">
        <v>31</v>
      </c>
      <c r="D12" s="32">
        <f>D13+D17+D21+D25</f>
        <v>32.168312520594171</v>
      </c>
      <c r="E12" s="32">
        <f>E13+E17+E21</f>
        <v>32.15022201452031</v>
      </c>
      <c r="F12" s="2"/>
    </row>
    <row r="13" spans="1:8" ht="15" x14ac:dyDescent="0.25">
      <c r="A13" s="2"/>
      <c r="B13" s="59"/>
      <c r="C13" s="61" t="s">
        <v>40</v>
      </c>
      <c r="D13" s="32">
        <f t="shared" ref="D13:E13" si="2">SUM(D14:D16)</f>
        <v>28.279113792711247</v>
      </c>
      <c r="E13" s="32">
        <f t="shared" si="2"/>
        <v>28.262979335784731</v>
      </c>
      <c r="F13" s="2"/>
    </row>
    <row r="14" spans="1:8" ht="18" x14ac:dyDescent="0.35">
      <c r="A14" s="2"/>
      <c r="B14" s="59"/>
      <c r="C14" s="1753" t="s">
        <v>47</v>
      </c>
      <c r="D14" s="82">
        <f t="shared" ref="D14:D16" si="3">E14/_xlfn.XLOOKUP(C14,C$4:C$7,E$4:E$7,"ERROR")*_xlfn.XLOOKUP(C14,C$4:C$7,D$4:D$7,"ERROR")</f>
        <v>28.130573867498466</v>
      </c>
      <c r="E14" s="82">
        <f>'EGU Production RGGI Units'!F261</f>
        <v>28.130573867498466</v>
      </c>
      <c r="F14" s="2"/>
    </row>
    <row r="15" spans="1:8" ht="18" x14ac:dyDescent="0.35">
      <c r="A15" s="2"/>
      <c r="B15" s="59"/>
      <c r="C15" s="1753" t="s">
        <v>58</v>
      </c>
      <c r="D15" s="82">
        <f t="shared" si="3"/>
        <v>2.4580073216379835E-2</v>
      </c>
      <c r="E15" s="82">
        <f>'EGU Production RGGI Units'!G280</f>
        <v>8.4456162898645E-3</v>
      </c>
      <c r="F15" s="2"/>
    </row>
    <row r="16" spans="1:8" ht="18" x14ac:dyDescent="0.35">
      <c r="A16" s="2"/>
      <c r="B16" s="59"/>
      <c r="C16" s="1753" t="s">
        <v>61</v>
      </c>
      <c r="D16" s="82">
        <f t="shared" si="3"/>
        <v>0.12395985199639828</v>
      </c>
      <c r="E16" s="82">
        <f>'EGU Production RGGI Units'!G292</f>
        <v>0.12395985199639828</v>
      </c>
      <c r="F16" s="2"/>
    </row>
    <row r="17" spans="1:6" ht="15" x14ac:dyDescent="0.25">
      <c r="A17" s="2"/>
      <c r="B17" s="59"/>
      <c r="C17" s="61" t="s">
        <v>63</v>
      </c>
      <c r="D17" s="32">
        <f t="shared" ref="D17:E17" si="4">SUM(D18:D20)</f>
        <v>3.6514756360413436</v>
      </c>
      <c r="E17" s="32">
        <f t="shared" si="4"/>
        <v>3.6499711388765195</v>
      </c>
      <c r="F17" s="2"/>
    </row>
    <row r="18" spans="1:6" ht="18" x14ac:dyDescent="0.35">
      <c r="A18" s="2"/>
      <c r="B18" s="59"/>
      <c r="C18" s="1753" t="s">
        <v>66</v>
      </c>
      <c r="D18" s="82">
        <f t="shared" ref="D18:D20" si="5">E18/_xlfn.XLOOKUP(C18,C$4:C$7,E$4:E$7,"ERROR")*_xlfn.XLOOKUP(C18,C$4:C$7,D$4:D$7,"ERROR")</f>
        <v>3.6484130104806791</v>
      </c>
      <c r="E18" s="82">
        <f>'EGU Production RGGI Units'!F265+'EGU Production Non-RGGI Units'!I105</f>
        <v>3.6484130104806791</v>
      </c>
      <c r="F18" s="2"/>
    </row>
    <row r="19" spans="1:6" ht="18" x14ac:dyDescent="0.35">
      <c r="A19" s="2"/>
      <c r="B19" s="59"/>
      <c r="C19" s="1753" t="s">
        <v>73</v>
      </c>
      <c r="D19" s="82">
        <f t="shared" si="5"/>
        <v>2.2920294518523864E-3</v>
      </c>
      <c r="E19" s="82">
        <f>'EGU Production RGGI Units'!G283+'EGU Production Non-RGGI Units'!G117</f>
        <v>7.8753228702809831E-4</v>
      </c>
      <c r="F19" s="2"/>
    </row>
    <row r="20" spans="1:6" ht="18" x14ac:dyDescent="0.35">
      <c r="A20" s="2"/>
      <c r="B20" s="59"/>
      <c r="C20" s="1753" t="s">
        <v>79</v>
      </c>
      <c r="D20" s="82">
        <f t="shared" si="5"/>
        <v>7.7059610881244041E-4</v>
      </c>
      <c r="E20" s="82">
        <f>'EGU Production RGGI Units'!G295+'EGU Production Non-RGGI Units'!G129</f>
        <v>7.7059610881244041E-4</v>
      </c>
      <c r="F20" s="2"/>
    </row>
    <row r="21" spans="1:6" ht="15" x14ac:dyDescent="0.25">
      <c r="A21" s="2"/>
      <c r="B21" s="59"/>
      <c r="C21" s="61" t="s">
        <v>83</v>
      </c>
      <c r="D21" s="32">
        <f t="shared" ref="D21:E21" si="6">SUM(D22:D24)</f>
        <v>0.23772309184158222</v>
      </c>
      <c r="E21" s="32">
        <f t="shared" si="6"/>
        <v>0.23727153985905969</v>
      </c>
      <c r="F21" s="2"/>
    </row>
    <row r="22" spans="1:6" ht="18" x14ac:dyDescent="0.35">
      <c r="A22" s="2"/>
      <c r="B22" s="59"/>
      <c r="C22" s="1753" t="s">
        <v>88</v>
      </c>
      <c r="D22" s="82">
        <f t="shared" ref="D22:D24" si="7">E22/_xlfn.XLOOKUP(C22,C$4:C$7,E$4:E$7,"ERROR")*_xlfn.XLOOKUP(C22,C$4:C$7,D$4:D$7,"ERROR")</f>
        <v>0.23657260855402951</v>
      </c>
      <c r="E22" s="82">
        <f>'EGU Production RGGI Units'!F263+'EGU Production Non-RGGI Units'!I103+'EGU Production Non-RGGI Units'!I104</f>
        <v>0.23657260855402951</v>
      </c>
      <c r="F22" s="2"/>
    </row>
    <row r="23" spans="1:6" ht="18" x14ac:dyDescent="0.35">
      <c r="A23" s="2"/>
      <c r="B23" s="59"/>
      <c r="C23" s="1753" t="s">
        <v>93</v>
      </c>
      <c r="D23" s="82">
        <f t="shared" si="7"/>
        <v>6.8791784204182507E-4</v>
      </c>
      <c r="E23" s="82">
        <f>'EGU Production RGGI Units'!G281+'EGU Production RGGI Units'!G282+'EGU Production Non-RGGI Units'!G115+'EGU Production Non-RGGI Units'!G116</f>
        <v>2.3636585951929698E-4</v>
      </c>
      <c r="F23" s="2"/>
    </row>
    <row r="24" spans="1:6" ht="18" x14ac:dyDescent="0.35">
      <c r="A24" s="2"/>
      <c r="B24" s="59"/>
      <c r="C24" s="1753" t="s">
        <v>96</v>
      </c>
      <c r="D24" s="82">
        <f t="shared" si="7"/>
        <v>4.6256544551088216E-4</v>
      </c>
      <c r="E24" s="82">
        <f>'EGU Production RGGI Units'!G293+'EGU Production RGGI Units'!G294+'EGU Production Non-RGGI Units'!G127+'EGU Production Non-RGGI Units'!G128</f>
        <v>4.6256544551088216E-4</v>
      </c>
      <c r="F24" s="2"/>
    </row>
    <row r="25" spans="1:6" ht="15" x14ac:dyDescent="0.25">
      <c r="A25" s="2"/>
      <c r="B25" s="59"/>
      <c r="C25" s="61" t="s">
        <v>103</v>
      </c>
      <c r="D25" s="32">
        <f t="shared" ref="D25:E25" si="8">SUM(D26:D28)</f>
        <v>0</v>
      </c>
      <c r="E25" s="32">
        <f t="shared" si="8"/>
        <v>0</v>
      </c>
      <c r="F25" s="2"/>
    </row>
    <row r="26" spans="1:6" ht="18" x14ac:dyDescent="0.35">
      <c r="A26" s="2"/>
      <c r="B26" s="59"/>
      <c r="C26" s="1753" t="s">
        <v>105</v>
      </c>
      <c r="D26" s="82">
        <f t="shared" ref="D26:D28" si="9">E26/_xlfn.XLOOKUP(C26,C$4:C$7,E$4:E$7,"ERROR")*_xlfn.XLOOKUP(C26,C$4:C$7,D$4:D$7,"ERROR")</f>
        <v>0</v>
      </c>
      <c r="E26" s="82">
        <v>0</v>
      </c>
      <c r="F26" s="2"/>
    </row>
    <row r="27" spans="1:6" ht="18" x14ac:dyDescent="0.35">
      <c r="A27" s="2"/>
      <c r="B27" s="59"/>
      <c r="C27" s="1753" t="s">
        <v>112</v>
      </c>
      <c r="D27" s="82">
        <f t="shared" si="9"/>
        <v>0</v>
      </c>
      <c r="E27" s="82">
        <v>0</v>
      </c>
      <c r="F27" s="2"/>
    </row>
    <row r="28" spans="1:6" ht="18" x14ac:dyDescent="0.35">
      <c r="A28" s="2"/>
      <c r="B28" s="59"/>
      <c r="C28" s="1753" t="s">
        <v>114</v>
      </c>
      <c r="D28" s="82">
        <f t="shared" si="9"/>
        <v>0</v>
      </c>
      <c r="E28" s="82">
        <v>0</v>
      </c>
      <c r="F28" s="2"/>
    </row>
    <row r="29" spans="1:6" ht="15" x14ac:dyDescent="0.25">
      <c r="A29" s="2"/>
      <c r="B29" s="125"/>
      <c r="C29" s="50" t="s">
        <v>117</v>
      </c>
      <c r="D29" s="82">
        <f>E29</f>
        <v>10.310826910434773</v>
      </c>
      <c r="E29" s="82">
        <f>'Imported Electricity'!K76</f>
        <v>10.310826910434773</v>
      </c>
      <c r="F29" s="2"/>
    </row>
    <row r="30" spans="1:6" ht="15" x14ac:dyDescent="0.25">
      <c r="A30" s="2"/>
      <c r="B30" s="37" t="s">
        <v>120</v>
      </c>
      <c r="C30" s="39"/>
      <c r="D30" s="44">
        <f t="shared" ref="D30:E30" si="10">D31+D35+D39+D43</f>
        <v>17.130056871197549</v>
      </c>
      <c r="E30" s="44">
        <f t="shared" si="10"/>
        <v>16.89455466710805</v>
      </c>
      <c r="F30" s="2"/>
    </row>
    <row r="31" spans="1:6" ht="15" x14ac:dyDescent="0.25">
      <c r="A31" s="2"/>
      <c r="B31" s="47"/>
      <c r="C31" s="71" t="s">
        <v>40</v>
      </c>
      <c r="D31" s="32">
        <f t="shared" ref="D31:E31" si="11">SUM(D32:D34)</f>
        <v>3.0165080155221444</v>
      </c>
      <c r="E31" s="32">
        <f t="shared" si="11"/>
        <v>2.9983991400359757</v>
      </c>
      <c r="F31" s="2"/>
    </row>
    <row r="32" spans="1:6" ht="18" x14ac:dyDescent="0.35">
      <c r="A32" s="2"/>
      <c r="B32" s="59"/>
      <c r="C32" s="1753" t="s">
        <v>127</v>
      </c>
      <c r="D32" s="82">
        <f t="shared" ref="D32:D34" si="12">E32/_xlfn.XLOOKUP(C32,C$4:C$7,E$4:E$7,"ERROR")*_xlfn.XLOOKUP(C32,C$4:C$7,D$4:D$7,"ERROR")</f>
        <v>2.9761269853411139</v>
      </c>
      <c r="E32" s="82">
        <f>Residential!G9+Commercial!G8+Industrial!J10</f>
        <v>2.9761269853411139</v>
      </c>
      <c r="F32" s="2"/>
    </row>
    <row r="33" spans="1:6" ht="18" x14ac:dyDescent="0.35">
      <c r="A33" s="2"/>
      <c r="B33" s="59"/>
      <c r="C33" s="1753" t="s">
        <v>135</v>
      </c>
      <c r="D33" s="82">
        <f t="shared" si="12"/>
        <v>2.7588005431086533E-2</v>
      </c>
      <c r="E33" s="82">
        <f>Residential!G33+Commercial!G37+Industrial!H71</f>
        <v>9.4791299449176625E-3</v>
      </c>
      <c r="F33" s="2"/>
    </row>
    <row r="34" spans="1:6" ht="18" x14ac:dyDescent="0.35">
      <c r="A34" s="2"/>
      <c r="B34" s="59"/>
      <c r="C34" s="1753" t="s">
        <v>140</v>
      </c>
      <c r="D34" s="82">
        <f t="shared" si="12"/>
        <v>1.2793024749943984E-2</v>
      </c>
      <c r="E34" s="82">
        <f>Residential!G20+Commercial!G22+Industrial!H40</f>
        <v>1.2793024749943984E-2</v>
      </c>
      <c r="F34" s="2"/>
    </row>
    <row r="35" spans="1:6" ht="15" x14ac:dyDescent="0.25">
      <c r="A35" s="2"/>
      <c r="B35" s="59"/>
      <c r="C35" s="71" t="s">
        <v>141</v>
      </c>
      <c r="D35" s="32">
        <f t="shared" ref="D35:E35" si="13">SUM(D36:D38)</f>
        <v>9.2555202101508236</v>
      </c>
      <c r="E35" s="32">
        <f t="shared" si="13"/>
        <v>9.2149093273021769</v>
      </c>
      <c r="F35" s="2"/>
    </row>
    <row r="36" spans="1:6" ht="18" x14ac:dyDescent="0.35">
      <c r="A36" s="2"/>
      <c r="B36" s="59"/>
      <c r="C36" s="1753" t="s">
        <v>145</v>
      </c>
      <c r="D36" s="82">
        <f t="shared" ref="D36:D38" si="14">E36/_xlfn.XLOOKUP(C36,C$4:C$7,E$4:E$7,"ERROR")*_xlfn.XLOOKUP(C36,C$4:C$7,D$4:D$7,"ERROR")</f>
        <v>9.1880239703649558</v>
      </c>
      <c r="E36" s="82">
        <f>Residential!G13+Residential!G12+Commercial!G14+Commercial!G11+Industrial!J30+Industrial!J18</f>
        <v>9.1880239703649558</v>
      </c>
      <c r="F36" s="2"/>
    </row>
    <row r="37" spans="1:6" ht="18" x14ac:dyDescent="0.35">
      <c r="A37" s="2"/>
      <c r="B37" s="59"/>
      <c r="C37" s="1753" t="s">
        <v>154</v>
      </c>
      <c r="D37" s="82">
        <f t="shared" si="14"/>
        <v>6.1868737097751168E-2</v>
      </c>
      <c r="E37" s="82">
        <f>Residential!G37+Residential!G36+Commercial!G43+Commercial!G40+Industrial!H91+Industrial!H79</f>
        <v>2.1257854249104157E-2</v>
      </c>
      <c r="F37" s="2"/>
    </row>
    <row r="38" spans="1:6" ht="18" x14ac:dyDescent="0.35">
      <c r="A38" s="2"/>
      <c r="B38" s="59"/>
      <c r="C38" s="1753" t="s">
        <v>159</v>
      </c>
      <c r="D38" s="82">
        <f t="shared" si="14"/>
        <v>5.6275026881170741E-3</v>
      </c>
      <c r="E38" s="82">
        <f>Residential!G24+Residential!G23+Commercial!G28+Commercial!G25+Industrial!H60+Industrial!H48</f>
        <v>5.6275026881170741E-3</v>
      </c>
      <c r="F38" s="2"/>
    </row>
    <row r="39" spans="1:6" ht="15" x14ac:dyDescent="0.25">
      <c r="A39" s="2"/>
      <c r="B39" s="59"/>
      <c r="C39" s="71" t="s">
        <v>74</v>
      </c>
      <c r="D39" s="32">
        <f t="shared" ref="D39:E39" si="15">SUM(D40:D42)</f>
        <v>4.599658911554342</v>
      </c>
      <c r="E39" s="32">
        <f t="shared" si="15"/>
        <v>4.5780626442512267</v>
      </c>
      <c r="F39" s="2"/>
    </row>
    <row r="40" spans="1:6" ht="18" x14ac:dyDescent="0.35">
      <c r="A40" s="2"/>
      <c r="B40" s="59"/>
      <c r="C40" s="1753" t="s">
        <v>166</v>
      </c>
      <c r="D40" s="82">
        <f t="shared" ref="D40:D42" si="16">E40/_xlfn.XLOOKUP(C40,C$4:C$7,E$4:E$7,"ERROR")*_xlfn.XLOOKUP(C40,C$4:C$7,D$4:D$7,"ERROR")</f>
        <v>4.5574772247834741</v>
      </c>
      <c r="E40" s="82">
        <f>Residential!G10+Residential!G11+Commercial!G12+Commercial!G13+Commercial!G9+Commercial!G10+Industrial!J14+Industrial!J15+Industrial!J16+Industrial!J17+Industrial!J19+Industrial!J22+Industrial!J24+Industrial!J25+Industrial!J27+Industrial!J29+Industrial!J20</f>
        <v>4.5574772247834741</v>
      </c>
      <c r="F40" s="2"/>
    </row>
    <row r="41" spans="1:6" ht="18" x14ac:dyDescent="0.35">
      <c r="A41" s="2"/>
      <c r="B41" s="59"/>
      <c r="C41" s="1753" t="s">
        <v>177</v>
      </c>
      <c r="D41" s="82">
        <f t="shared" si="16"/>
        <v>3.2900880019005201E-2</v>
      </c>
      <c r="E41" s="82">
        <f>Residential!G34+Residential!G35+Commercial!G38+Commercial!G39+Commercial!G41+Commercial!G42+Industrial!H75+Industrial!H76+Industrial!H77+Industrial!H78+Industrial!H81+Industrial!H85+Industrial!H86+Industrial!H88</f>
        <v>1.1304612715889718E-2</v>
      </c>
      <c r="F41" s="2"/>
    </row>
    <row r="42" spans="1:6" ht="18" x14ac:dyDescent="0.35">
      <c r="A42" s="2"/>
      <c r="B42" s="59"/>
      <c r="C42" s="1753" t="s">
        <v>186</v>
      </c>
      <c r="D42" s="82">
        <f t="shared" si="16"/>
        <v>9.2808067518628592E-3</v>
      </c>
      <c r="E42" s="82">
        <f>Residential!G21+Residential!G22+Commercial!G23+Commercial!G24+Commercial!G26+Commercial!G27+Industrial!H44+Industrial!H45+Industrial!H46+Industrial!H47+Industrial!H50+Industrial!H54+Industrial!H55+Industrial!H57</f>
        <v>9.2808067518628592E-3</v>
      </c>
      <c r="F42" s="2"/>
    </row>
    <row r="43" spans="1:6" ht="15" x14ac:dyDescent="0.25">
      <c r="A43" s="2"/>
      <c r="B43" s="59"/>
      <c r="C43" s="71" t="s">
        <v>192</v>
      </c>
      <c r="D43" s="32">
        <f t="shared" ref="D43:E43" si="17">SUM(D44:D46)</f>
        <v>0.25836973397023721</v>
      </c>
      <c r="E43" s="32">
        <f t="shared" si="17"/>
        <v>0.10318355551867414</v>
      </c>
      <c r="F43" s="2"/>
    </row>
    <row r="44" spans="1:6" ht="18" x14ac:dyDescent="0.35">
      <c r="A44" s="2"/>
      <c r="B44" s="59"/>
      <c r="C44" s="1753" t="s">
        <v>196</v>
      </c>
      <c r="D44" s="82">
        <f t="shared" ref="D44:D46" si="18">E44/_xlfn.XLOOKUP(C44,C$4:C$7,E$4:E$7,"ERROR")*_xlfn.XLOOKUP(C44,C$4:C$7,D$4:D$7,"ERROR")</f>
        <v>0</v>
      </c>
      <c r="E44" s="82">
        <v>0</v>
      </c>
      <c r="F44" s="2"/>
    </row>
    <row r="45" spans="1:6" ht="18" x14ac:dyDescent="0.35">
      <c r="A45" s="2"/>
      <c r="B45" s="59"/>
      <c r="C45" s="1753" t="s">
        <v>199</v>
      </c>
      <c r="D45" s="82">
        <f t="shared" si="18"/>
        <v>0.23641871839149944</v>
      </c>
      <c r="E45" s="82">
        <f>Residential!G38+Commercial!G44+Industrial!H92</f>
        <v>8.1232539939936371E-2</v>
      </c>
      <c r="F45" s="2"/>
    </row>
    <row r="46" spans="1:6" ht="18" x14ac:dyDescent="0.35">
      <c r="A46" s="2"/>
      <c r="B46" s="125"/>
      <c r="C46" s="1753" t="s">
        <v>202</v>
      </c>
      <c r="D46" s="82">
        <f t="shared" si="18"/>
        <v>2.1951015578737777E-2</v>
      </c>
      <c r="E46" s="82">
        <f>Residential!G25+Commercial!G29+Industrial!H61</f>
        <v>2.1951015578737777E-2</v>
      </c>
      <c r="F46" s="2"/>
    </row>
    <row r="47" spans="1:6" ht="15" x14ac:dyDescent="0.25">
      <c r="A47" s="2"/>
      <c r="B47" s="37" t="s">
        <v>203</v>
      </c>
      <c r="C47" s="39"/>
      <c r="D47" s="44">
        <f t="shared" ref="D47:E47" si="19">D48+D52+D56+D60+D64+D68+D72+D76</f>
        <v>35.56252308001914</v>
      </c>
      <c r="E47" s="44">
        <f t="shared" si="19"/>
        <v>35.422591916424764</v>
      </c>
      <c r="F47" s="2"/>
    </row>
    <row r="48" spans="1:6" ht="15" x14ac:dyDescent="0.25">
      <c r="A48" s="2"/>
      <c r="B48" s="47"/>
      <c r="C48" s="71" t="s">
        <v>205</v>
      </c>
      <c r="D48" s="32">
        <f t="shared" ref="D48:E48" si="20">SUM(D49:D51)</f>
        <v>23.830078387096776</v>
      </c>
      <c r="E48" s="32">
        <f t="shared" si="20"/>
        <v>23.712818387096775</v>
      </c>
      <c r="F48" s="2"/>
    </row>
    <row r="49" spans="1:6" ht="18" x14ac:dyDescent="0.35">
      <c r="A49" s="2"/>
      <c r="B49" s="59"/>
      <c r="C49" s="1753" t="s">
        <v>206</v>
      </c>
      <c r="D49" s="82">
        <f t="shared" ref="D49:D51" si="21">E49/_xlfn.XLOOKUP(C49,C$4:C$7,E$4:E$7,"ERROR")*_xlfn.XLOOKUP(C49,C$4:C$7,D$4:D$7,"ERROR")</f>
        <v>23.195</v>
      </c>
      <c r="E49" s="82">
        <f>Transportation!E96</f>
        <v>23.195</v>
      </c>
      <c r="F49" s="2"/>
    </row>
    <row r="50" spans="1:6" ht="18" x14ac:dyDescent="0.35">
      <c r="A50" s="2"/>
      <c r="B50" s="59"/>
      <c r="C50" s="1753" t="s">
        <v>211</v>
      </c>
      <c r="D50" s="82">
        <f t="shared" si="21"/>
        <v>0.17864000000000002</v>
      </c>
      <c r="E50" s="82">
        <f>(Transportation!G96)*($E$5/21)</f>
        <v>6.1379999999999997E-2</v>
      </c>
      <c r="F50" s="2"/>
    </row>
    <row r="51" spans="1:6" ht="18" x14ac:dyDescent="0.35">
      <c r="A51" s="2"/>
      <c r="B51" s="59"/>
      <c r="C51" s="1753" t="s">
        <v>214</v>
      </c>
      <c r="D51" s="82">
        <f t="shared" si="21"/>
        <v>0.45643838709677415</v>
      </c>
      <c r="E51" s="82">
        <f>Transportation!I96*($E$6/310)</f>
        <v>0.45643838709677415</v>
      </c>
      <c r="F51" s="2"/>
    </row>
    <row r="52" spans="1:6" ht="15" x14ac:dyDescent="0.25">
      <c r="A52" s="2"/>
      <c r="B52" s="59"/>
      <c r="C52" s="71" t="s">
        <v>219</v>
      </c>
      <c r="D52" s="32">
        <f t="shared" ref="D52:E52" si="22">SUM(D53:D55)</f>
        <v>1.0463209465025065</v>
      </c>
      <c r="E52" s="32">
        <f t="shared" si="22"/>
        <v>1.0439847447143569</v>
      </c>
      <c r="F52" s="2"/>
    </row>
    <row r="53" spans="1:6" ht="18" x14ac:dyDescent="0.35">
      <c r="A53" s="2"/>
      <c r="B53" s="59"/>
      <c r="C53" s="1753" t="s">
        <v>224</v>
      </c>
      <c r="D53" s="82">
        <f t="shared" ref="D53:D55" si="23">E53/_xlfn.XLOOKUP(C53,C$4:C$7,E$4:E$7,"ERROR")*_xlfn.XLOOKUP(C53,C$4:C$7,D$4:D$7,"ERROR")</f>
        <v>1.0395505155055149</v>
      </c>
      <c r="E53" s="82">
        <f>Transportation!O64+Transportation!O65+Transportation!O66+Transportation!O67</f>
        <v>1.0395505155055149</v>
      </c>
      <c r="F53" s="2"/>
    </row>
    <row r="54" spans="1:6" ht="18" x14ac:dyDescent="0.35">
      <c r="A54" s="2"/>
      <c r="B54" s="59"/>
      <c r="C54" s="1753" t="s">
        <v>230</v>
      </c>
      <c r="D54" s="82">
        <f t="shared" si="23"/>
        <v>3.5590916547421944E-3</v>
      </c>
      <c r="E54" s="82">
        <f>(Transportation!AE64+Transportation!AE65+Transportation!AE66+Transportation!AE67)/1000000</f>
        <v>1.2228898665924534E-3</v>
      </c>
      <c r="F54" s="2"/>
    </row>
    <row r="55" spans="1:6" ht="18" x14ac:dyDescent="0.35">
      <c r="A55" s="2"/>
      <c r="B55" s="59"/>
      <c r="C55" s="1753" t="s">
        <v>231</v>
      </c>
      <c r="D55" s="82">
        <f t="shared" si="23"/>
        <v>3.2113393422493952E-3</v>
      </c>
      <c r="E55" s="82">
        <f>SUM(Transportation!X64:X67)/1000000</f>
        <v>3.2113393422493952E-3</v>
      </c>
      <c r="F55" s="2"/>
    </row>
    <row r="56" spans="1:6" ht="15" x14ac:dyDescent="0.25">
      <c r="A56" s="2"/>
      <c r="B56" s="59"/>
      <c r="C56" s="71" t="s">
        <v>234</v>
      </c>
      <c r="D56" s="32">
        <f t="shared" ref="D56:E56" si="24">SUM(D57:D59)</f>
        <v>5.910801935483871</v>
      </c>
      <c r="E56" s="32">
        <f t="shared" si="24"/>
        <v>5.9100405069124431</v>
      </c>
      <c r="F56" s="2"/>
    </row>
    <row r="57" spans="1:6" ht="18" x14ac:dyDescent="0.35">
      <c r="A57" s="2"/>
      <c r="B57" s="59"/>
      <c r="C57" s="1753" t="s">
        <v>238</v>
      </c>
      <c r="D57" s="82">
        <f t="shared" ref="D57:D59" si="25">E57/_xlfn.XLOOKUP(C57,C$4:C$7,E$4:E$7,"ERROR")*_xlfn.XLOOKUP(C57,C$4:C$7,D$4:D$7,"ERROR")</f>
        <v>5.907</v>
      </c>
      <c r="E57" s="82">
        <f>Transportation!E97</f>
        <v>5.907</v>
      </c>
      <c r="F57" s="2"/>
    </row>
    <row r="58" spans="1:6" ht="18" x14ac:dyDescent="0.35">
      <c r="A58" s="2"/>
      <c r="B58" s="59"/>
      <c r="C58" s="1753" t="s">
        <v>245</v>
      </c>
      <c r="D58" s="82">
        <f t="shared" si="25"/>
        <v>1.16E-3</v>
      </c>
      <c r="E58" s="82">
        <f>Transportation!G97*($E$5/21)</f>
        <v>3.9857142857142852E-4</v>
      </c>
      <c r="F58" s="2"/>
    </row>
    <row r="59" spans="1:6" ht="18" x14ac:dyDescent="0.35">
      <c r="A59" s="2"/>
      <c r="B59" s="59"/>
      <c r="C59" s="1753" t="s">
        <v>247</v>
      </c>
      <c r="D59" s="82">
        <f t="shared" si="25"/>
        <v>2.6419354838709678E-3</v>
      </c>
      <c r="E59" s="82">
        <f>Transportation!I97*($E$6/310)</f>
        <v>2.6419354838709678E-3</v>
      </c>
      <c r="F59" s="2"/>
    </row>
    <row r="60" spans="1:6" ht="15" x14ac:dyDescent="0.25">
      <c r="A60" s="2"/>
      <c r="B60" s="59"/>
      <c r="C60" s="71" t="s">
        <v>251</v>
      </c>
      <c r="D60" s="32">
        <f t="shared" ref="D60:E60" si="26">SUM(D61:D63)</f>
        <v>1.5146404253745429</v>
      </c>
      <c r="E60" s="32">
        <f t="shared" si="26"/>
        <v>1.503926086975006</v>
      </c>
      <c r="F60" s="2"/>
    </row>
    <row r="61" spans="1:6" ht="18" x14ac:dyDescent="0.35">
      <c r="A61" s="2"/>
      <c r="B61" s="59"/>
      <c r="C61" s="1753" t="s">
        <v>252</v>
      </c>
      <c r="D61" s="82">
        <f t="shared" ref="D61:D63" si="27">E61/_xlfn.XLOOKUP(C61,C$4:C$7,E$4:E$7,"ERROR")*_xlfn.XLOOKUP(C61,C$4:C$7,D$4:D$7,"ERROR")</f>
        <v>1.4880829330956415</v>
      </c>
      <c r="E61" s="82">
        <f>SUM(Transportation!O56:O58)</f>
        <v>1.4880829330956415</v>
      </c>
      <c r="F61" s="2"/>
    </row>
    <row r="62" spans="1:6" ht="18" x14ac:dyDescent="0.35">
      <c r="A62" s="2"/>
      <c r="B62" s="59"/>
      <c r="C62" s="1753" t="s">
        <v>256</v>
      </c>
      <c r="D62" s="82">
        <f t="shared" si="27"/>
        <v>1.6322781952015138E-2</v>
      </c>
      <c r="E62" s="82">
        <f>SUM(Transportation!AE56:AE58)/1000000</f>
        <v>5.6084435524781078E-3</v>
      </c>
      <c r="F62" s="2"/>
    </row>
    <row r="63" spans="1:6" ht="18" x14ac:dyDescent="0.35">
      <c r="A63" s="2"/>
      <c r="B63" s="59"/>
      <c r="C63" s="1753" t="s">
        <v>259</v>
      </c>
      <c r="D63" s="82">
        <f t="shared" si="27"/>
        <v>1.0234710326886356E-2</v>
      </c>
      <c r="E63" s="82">
        <f>SUM(Transportation!X56:X58)/1000000</f>
        <v>1.0234710326886358E-2</v>
      </c>
      <c r="F63" s="2"/>
    </row>
    <row r="64" spans="1:6" ht="15" x14ac:dyDescent="0.25">
      <c r="A64" s="2"/>
      <c r="B64" s="59"/>
      <c r="C64" s="71" t="s">
        <v>260</v>
      </c>
      <c r="D64" s="32">
        <f t="shared" ref="D64:E64" si="28">SUM(D65:D67)</f>
        <v>0.23974040900050878</v>
      </c>
      <c r="E64" s="32">
        <f t="shared" si="28"/>
        <v>0.23874757005073063</v>
      </c>
      <c r="F64" s="2"/>
    </row>
    <row r="65" spans="1:6" ht="18" x14ac:dyDescent="0.35">
      <c r="A65" s="2"/>
      <c r="B65" s="59"/>
      <c r="C65" s="1753" t="s">
        <v>261</v>
      </c>
      <c r="D65" s="82">
        <f t="shared" ref="D65:D67" si="29">E65/_xlfn.XLOOKUP(C65,C$4:C$7,E$4:E$7,"ERROR")*_xlfn.XLOOKUP(C65,C$4:C$7,D$4:D$7,"ERROR")</f>
        <v>0.23660057910605095</v>
      </c>
      <c r="E65" s="82">
        <f>Transportation!O59</f>
        <v>0.23660057910605095</v>
      </c>
      <c r="F65" s="2"/>
    </row>
    <row r="66" spans="1:6" ht="18" x14ac:dyDescent="0.35">
      <c r="A66" s="2"/>
      <c r="B66" s="59"/>
      <c r="C66" s="1753" t="s">
        <v>269</v>
      </c>
      <c r="D66" s="82">
        <f t="shared" si="29"/>
        <v>1.5125426401873202E-3</v>
      </c>
      <c r="E66" s="82">
        <f>Transportation!AE59/1000000</f>
        <v>5.1970369040919004E-4</v>
      </c>
      <c r="F66" s="2"/>
    </row>
    <row r="67" spans="1:6" ht="18" x14ac:dyDescent="0.35">
      <c r="A67" s="2"/>
      <c r="B67" s="59"/>
      <c r="C67" s="1753" t="s">
        <v>272</v>
      </c>
      <c r="D67" s="82">
        <f t="shared" si="29"/>
        <v>1.627287254270496E-3</v>
      </c>
      <c r="E67" s="82">
        <f>Transportation!X59/1000000</f>
        <v>1.627287254270496E-3</v>
      </c>
      <c r="F67" s="2"/>
    </row>
    <row r="68" spans="1:6" ht="15" x14ac:dyDescent="0.25">
      <c r="A68" s="2"/>
      <c r="B68" s="59"/>
      <c r="C68" s="71" t="s">
        <v>1745</v>
      </c>
      <c r="D68" s="32">
        <f t="shared" ref="D68:E68" si="30">SUM(D69:D71)</f>
        <v>1.0009566948064865</v>
      </c>
      <c r="E68" s="32">
        <f t="shared" si="30"/>
        <v>0.99721734383108063</v>
      </c>
      <c r="F68" s="2"/>
    </row>
    <row r="69" spans="1:6" ht="18" x14ac:dyDescent="0.35">
      <c r="A69" s="2"/>
      <c r="B69" s="59"/>
      <c r="C69" s="1753" t="s">
        <v>278</v>
      </c>
      <c r="D69" s="82">
        <f t="shared" ref="D69:D71" si="31">E69/_xlfn.XLOOKUP(C69,C$4:C$7,E$4:E$7,"ERROR")*_xlfn.XLOOKUP(C69,C$4:C$7,D$4:D$7,"ERROR")</f>
        <v>0.98859813830762433</v>
      </c>
      <c r="E69" s="82">
        <f>Transportation!O60+Transportation!O68+Transportation!O69</f>
        <v>0.98859813830762433</v>
      </c>
      <c r="F69" s="2"/>
    </row>
    <row r="70" spans="1:6" ht="18" x14ac:dyDescent="0.35">
      <c r="A70" s="2"/>
      <c r="B70" s="59"/>
      <c r="C70" s="1753" t="s">
        <v>282</v>
      </c>
      <c r="D70" s="82">
        <f t="shared" si="31"/>
        <v>5.6967223115004413E-3</v>
      </c>
      <c r="E70" s="82">
        <f>(Transportation!AE60+Transportation!AE68+Transportation!AE69)/1000000</f>
        <v>1.9573713360943631E-3</v>
      </c>
      <c r="F70" s="2"/>
    </row>
    <row r="71" spans="1:6" ht="18" x14ac:dyDescent="0.35">
      <c r="A71" s="2"/>
      <c r="B71" s="59"/>
      <c r="C71" s="1753" t="s">
        <v>284</v>
      </c>
      <c r="D71" s="82">
        <f t="shared" si="31"/>
        <v>6.6618341873618337E-3</v>
      </c>
      <c r="E71" s="82">
        <f>(Transportation!X60+Transportation!X68+Transportation!X69)/1000000</f>
        <v>6.6618341873618337E-3</v>
      </c>
      <c r="F71" s="2"/>
    </row>
    <row r="72" spans="1:6" ht="15" x14ac:dyDescent="0.25">
      <c r="A72" s="2"/>
      <c r="B72" s="59"/>
      <c r="C72" s="71" t="s">
        <v>287</v>
      </c>
      <c r="D72" s="32">
        <f t="shared" ref="D72:E72" si="32">SUM(D73:D75)</f>
        <v>0.29595514575746695</v>
      </c>
      <c r="E72" s="32">
        <f t="shared" si="32"/>
        <v>0.29595514575746695</v>
      </c>
      <c r="F72" s="2"/>
    </row>
    <row r="73" spans="1:6" ht="18" x14ac:dyDescent="0.35">
      <c r="A73" s="2"/>
      <c r="B73" s="59"/>
      <c r="C73" s="1753" t="s">
        <v>289</v>
      </c>
      <c r="D73" s="82">
        <f t="shared" ref="D73:D75" si="33">E73/_xlfn.XLOOKUP(C73,C$4:C$7,E$4:E$7,"ERROR")*_xlfn.XLOOKUP(C73,C$4:C$7,D$4:D$7,"ERROR")</f>
        <v>0.29595514575746695</v>
      </c>
      <c r="E73" s="82">
        <f>Transportation!O63+Transportation!O70+Transportation!S79</f>
        <v>0.29595514575746695</v>
      </c>
      <c r="F73" s="2"/>
    </row>
    <row r="74" spans="1:6" ht="18" x14ac:dyDescent="0.35">
      <c r="A74" s="2"/>
      <c r="B74" s="59"/>
      <c r="C74" s="1753" t="s">
        <v>294</v>
      </c>
      <c r="D74" s="82">
        <f t="shared" si="33"/>
        <v>0</v>
      </c>
      <c r="E74" s="82">
        <v>0</v>
      </c>
      <c r="F74" s="2"/>
    </row>
    <row r="75" spans="1:6" ht="18" x14ac:dyDescent="0.35">
      <c r="A75" s="2"/>
      <c r="B75" s="59"/>
      <c r="C75" s="1753" t="s">
        <v>295</v>
      </c>
      <c r="D75" s="82">
        <f t="shared" si="33"/>
        <v>0</v>
      </c>
      <c r="E75" s="82">
        <v>0</v>
      </c>
      <c r="F75" s="2"/>
    </row>
    <row r="76" spans="1:6" ht="15" x14ac:dyDescent="0.25">
      <c r="A76" s="2"/>
      <c r="B76" s="59"/>
      <c r="C76" s="71" t="s">
        <v>297</v>
      </c>
      <c r="D76" s="32">
        <f t="shared" ref="D76:E76" si="34">SUM(D77:D79)</f>
        <v>1.7240291359969726</v>
      </c>
      <c r="E76" s="32">
        <f t="shared" si="34"/>
        <v>1.7199021310868976</v>
      </c>
      <c r="F76" s="2"/>
    </row>
    <row r="77" spans="1:6" ht="18" x14ac:dyDescent="0.35">
      <c r="A77" s="2"/>
      <c r="B77" s="59"/>
      <c r="C77" s="1753" t="s">
        <v>299</v>
      </c>
      <c r="D77" s="82">
        <f t="shared" ref="D77:D79" si="35">E77/_xlfn.XLOOKUP(C77,C$4:C$7,E$4:E$7,"ERROR")*_xlfn.XLOOKUP(C77,C$4:C$7,D$4:D$7,"ERROR")</f>
        <v>1.7033436072509349</v>
      </c>
      <c r="E77" s="82">
        <f>Transportation!O55+Transportation!O61+Transportation!O62</f>
        <v>1.7033436072509349</v>
      </c>
      <c r="F77" s="2"/>
    </row>
    <row r="78" spans="1:6" ht="18" x14ac:dyDescent="0.35">
      <c r="A78" s="2"/>
      <c r="B78" s="59"/>
      <c r="C78" s="1753" t="s">
        <v>302</v>
      </c>
      <c r="D78" s="82">
        <f t="shared" si="35"/>
        <v>6.2872945346732706E-3</v>
      </c>
      <c r="E78" s="82">
        <f>(Transportation!AE55+Transportation!AE61+Transportation!AE62)/1000000</f>
        <v>2.1602896245983281E-3</v>
      </c>
      <c r="F78" s="2"/>
    </row>
    <row r="79" spans="1:6" ht="18" x14ac:dyDescent="0.35">
      <c r="A79" s="2"/>
      <c r="B79" s="125"/>
      <c r="C79" s="1753" t="s">
        <v>304</v>
      </c>
      <c r="D79" s="82">
        <f t="shared" si="35"/>
        <v>1.4398234211364543E-2</v>
      </c>
      <c r="E79" s="82">
        <f>(Transportation!X55+Transportation!X61+Transportation!X62)/1000000</f>
        <v>1.4398234211364545E-2</v>
      </c>
      <c r="F79" s="2"/>
    </row>
    <row r="80" spans="1:6" ht="15" x14ac:dyDescent="0.25">
      <c r="A80" s="2"/>
      <c r="B80" s="37" t="s">
        <v>305</v>
      </c>
      <c r="C80" s="39"/>
      <c r="D80" s="44">
        <f t="shared" ref="D80:E80" si="36">D81+D85+D89</f>
        <v>3.757938885579045</v>
      </c>
      <c r="E80" s="44">
        <f t="shared" si="36"/>
        <v>1.3678537725691606</v>
      </c>
      <c r="F80" s="2"/>
    </row>
    <row r="81" spans="1:6" ht="15" x14ac:dyDescent="0.25">
      <c r="A81" s="2"/>
      <c r="B81" s="47"/>
      <c r="C81" s="71" t="s">
        <v>308</v>
      </c>
      <c r="D81" s="32">
        <f t="shared" ref="D81:E81" si="37">SUM(D82:D84)</f>
        <v>3.2539255675224052</v>
      </c>
      <c r="E81" s="32">
        <f t="shared" si="37"/>
        <v>1.1946767827442806</v>
      </c>
      <c r="F81" s="2"/>
    </row>
    <row r="82" spans="1:6" ht="18" x14ac:dyDescent="0.35">
      <c r="A82" s="2"/>
      <c r="B82" s="59"/>
      <c r="C82" s="1753" t="s">
        <v>311</v>
      </c>
      <c r="D82" s="82">
        <f t="shared" ref="D82:D84" si="38">E82/_xlfn.XLOOKUP(C82,C$4:C$7,E$4:E$7,"ERROR")*_xlfn.XLOOKUP(C82,C$4:C$7,D$4:D$7,"ERROR")</f>
        <v>0.11669565290015972</v>
      </c>
      <c r="E82" s="82">
        <f>'Natural Gas and Oil'!H70</f>
        <v>0.11669565290015972</v>
      </c>
      <c r="F82" s="2"/>
    </row>
    <row r="83" spans="1:6" ht="18" x14ac:dyDescent="0.35">
      <c r="A83" s="2"/>
      <c r="B83" s="59"/>
      <c r="C83" s="1753" t="s">
        <v>317</v>
      </c>
      <c r="D83" s="82">
        <f t="shared" si="38"/>
        <v>3.137167004202321</v>
      </c>
      <c r="E83" s="82">
        <f>'Natural Gas and Oil'!J70+'Natural Gas and Oil'!F51+'Natural Gas and Oil'!F34+'Natural Gas and Oil'!F10</f>
        <v>1.0779182194241963</v>
      </c>
      <c r="F83" s="2"/>
    </row>
    <row r="84" spans="1:6" ht="18" x14ac:dyDescent="0.35">
      <c r="A84" s="2"/>
      <c r="B84" s="59"/>
      <c r="C84" s="1753" t="s">
        <v>320</v>
      </c>
      <c r="D84" s="82">
        <f t="shared" si="38"/>
        <v>6.2910419924456623E-5</v>
      </c>
      <c r="E84" s="82">
        <f>'Natural Gas and Oil'!I70</f>
        <v>6.2910419924456623E-5</v>
      </c>
      <c r="F84" s="2"/>
    </row>
    <row r="85" spans="1:6" ht="15" x14ac:dyDescent="0.25">
      <c r="A85" s="2"/>
      <c r="B85" s="59"/>
      <c r="C85" s="71" t="s">
        <v>324</v>
      </c>
      <c r="D85" s="32">
        <f t="shared" ref="D85:E85" si="39">SUM(D86:D88)</f>
        <v>0</v>
      </c>
      <c r="E85" s="32">
        <f t="shared" si="39"/>
        <v>0</v>
      </c>
      <c r="F85" s="2"/>
    </row>
    <row r="86" spans="1:6" ht="18" x14ac:dyDescent="0.35">
      <c r="A86" s="2"/>
      <c r="B86" s="59"/>
      <c r="C86" s="1753" t="s">
        <v>327</v>
      </c>
      <c r="D86" s="82">
        <f t="shared" ref="D86:D88" si="40">E86/_xlfn.XLOOKUP(C86,C$4:C$7,E$4:E$7,"ERROR")*_xlfn.XLOOKUP(C86,C$4:C$7,D$4:D$7,"ERROR")</f>
        <v>0</v>
      </c>
      <c r="E86" s="82">
        <v>0</v>
      </c>
      <c r="F86" s="2"/>
    </row>
    <row r="87" spans="1:6" ht="18" x14ac:dyDescent="0.35">
      <c r="A87" s="2"/>
      <c r="B87" s="59"/>
      <c r="C87" s="1753" t="s">
        <v>332</v>
      </c>
      <c r="D87" s="82">
        <f t="shared" si="40"/>
        <v>0</v>
      </c>
      <c r="E87" s="82">
        <v>0</v>
      </c>
      <c r="F87" s="2"/>
    </row>
    <row r="88" spans="1:6" ht="18" x14ac:dyDescent="0.35">
      <c r="A88" s="2"/>
      <c r="B88" s="59"/>
      <c r="C88" s="1753" t="s">
        <v>333</v>
      </c>
      <c r="D88" s="82">
        <f t="shared" si="40"/>
        <v>0</v>
      </c>
      <c r="E88" s="82">
        <v>0</v>
      </c>
      <c r="F88" s="2"/>
    </row>
    <row r="89" spans="1:6" ht="15" x14ac:dyDescent="0.25">
      <c r="A89" s="2"/>
      <c r="B89" s="59"/>
      <c r="C89" s="71" t="s">
        <v>334</v>
      </c>
      <c r="D89" s="32">
        <f t="shared" ref="D89:E89" si="41">SUM(D90:D92)</f>
        <v>0.50401331805663996</v>
      </c>
      <c r="E89" s="32">
        <f t="shared" si="41"/>
        <v>0.17317698982487997</v>
      </c>
      <c r="F89" s="2"/>
    </row>
    <row r="90" spans="1:6" ht="18" x14ac:dyDescent="0.35">
      <c r="A90" s="2"/>
      <c r="B90" s="59"/>
      <c r="C90" s="1753" t="s">
        <v>336</v>
      </c>
      <c r="D90" s="82">
        <f t="shared" ref="D90:D92" si="42">E90/_xlfn.XLOOKUP(C90,C$4:C$7,E$4:E$7,"ERROR")*_xlfn.XLOOKUP(C90,C$4:C$7,D$4:D$7,"ERROR")</f>
        <v>0</v>
      </c>
      <c r="E90" s="82">
        <v>0</v>
      </c>
      <c r="F90" s="2"/>
    </row>
    <row r="91" spans="1:6" ht="18" x14ac:dyDescent="0.35">
      <c r="A91" s="2"/>
      <c r="B91" s="59"/>
      <c r="C91" s="1753" t="s">
        <v>339</v>
      </c>
      <c r="D91" s="82">
        <f t="shared" si="42"/>
        <v>0.50401331805663996</v>
      </c>
      <c r="E91" s="82">
        <f>Mining!C35+Mining!C36</f>
        <v>0.17317698982487997</v>
      </c>
      <c r="F91" s="2"/>
    </row>
    <row r="92" spans="1:6" ht="18" x14ac:dyDescent="0.35">
      <c r="A92" s="2"/>
      <c r="B92" s="125"/>
      <c r="C92" s="1753" t="s">
        <v>343</v>
      </c>
      <c r="D92" s="82">
        <f t="shared" si="42"/>
        <v>0</v>
      </c>
      <c r="E92" s="82">
        <v>0</v>
      </c>
      <c r="F92" s="2"/>
    </row>
    <row r="93" spans="1:6" ht="15" x14ac:dyDescent="0.25">
      <c r="A93" s="2"/>
      <c r="B93" s="37" t="s">
        <v>344</v>
      </c>
      <c r="C93" s="201"/>
      <c r="D93" s="202">
        <f t="shared" ref="D93:E93" si="43">D94+D98+D102+D106+D110+D114+D118+D122+D126</f>
        <v>10.622053144161127</v>
      </c>
      <c r="E93" s="202">
        <f t="shared" si="43"/>
        <v>7.6043136119970409</v>
      </c>
      <c r="F93" s="2"/>
    </row>
    <row r="94" spans="1:6" ht="15" x14ac:dyDescent="0.25">
      <c r="A94" s="2"/>
      <c r="B94" s="47"/>
      <c r="C94" s="71" t="s">
        <v>346</v>
      </c>
      <c r="D94" s="32">
        <f t="shared" ref="D94:E94" si="44">SUM(D95:D97)</f>
        <v>1.4832417277099998</v>
      </c>
      <c r="E94" s="32">
        <f t="shared" si="44"/>
        <v>1.4832417277099998</v>
      </c>
      <c r="F94" s="2"/>
    </row>
    <row r="95" spans="1:6" ht="18" x14ac:dyDescent="0.35">
      <c r="A95" s="2"/>
      <c r="B95" s="59"/>
      <c r="C95" s="1753" t="s">
        <v>348</v>
      </c>
      <c r="D95" s="82">
        <f t="shared" ref="D95:D97" si="45">E95/_xlfn.XLOOKUP(C95,C$4:C$7,E$4:E$7,"ERROR")*_xlfn.XLOOKUP(C95,C$4:C$7,D$4:D$7,"ERROR")</f>
        <v>1.4832417277099998</v>
      </c>
      <c r="E95" s="82">
        <f>Cement!G48</f>
        <v>1.4832417277099998</v>
      </c>
      <c r="F95" s="2"/>
    </row>
    <row r="96" spans="1:6" ht="18" x14ac:dyDescent="0.35">
      <c r="A96" s="2"/>
      <c r="B96" s="59"/>
      <c r="C96" s="1753" t="s">
        <v>357</v>
      </c>
      <c r="D96" s="82">
        <f t="shared" si="45"/>
        <v>0</v>
      </c>
      <c r="E96" s="82">
        <v>0</v>
      </c>
      <c r="F96" s="2"/>
    </row>
    <row r="97" spans="1:6" ht="18" x14ac:dyDescent="0.35">
      <c r="A97" s="2"/>
      <c r="B97" s="59"/>
      <c r="C97" s="1753" t="s">
        <v>358</v>
      </c>
      <c r="D97" s="82">
        <f t="shared" si="45"/>
        <v>0</v>
      </c>
      <c r="E97" s="82">
        <v>0</v>
      </c>
      <c r="F97" s="2"/>
    </row>
    <row r="98" spans="1:6" ht="15" x14ac:dyDescent="0.25">
      <c r="A98" s="2"/>
      <c r="B98" s="59"/>
      <c r="C98" s="71" t="s">
        <v>361</v>
      </c>
      <c r="D98" s="32">
        <f t="shared" ref="D98:E98" si="46">SUM(D99:D101)</f>
        <v>0.11394119158533558</v>
      </c>
      <c r="E98" s="32">
        <f t="shared" si="46"/>
        <v>0.11394119158533558</v>
      </c>
      <c r="F98" s="2"/>
    </row>
    <row r="99" spans="1:6" ht="18" x14ac:dyDescent="0.35">
      <c r="A99" s="2"/>
      <c r="B99" s="59"/>
      <c r="C99" s="1753" t="s">
        <v>370</v>
      </c>
      <c r="D99" s="82">
        <f t="shared" ref="D99:D101" si="47">E99/_xlfn.XLOOKUP(C99,C$4:C$7,E$4:E$7,"ERROR")*_xlfn.XLOOKUP(C99,C$4:C$7,D$4:D$7,"ERROR")</f>
        <v>0.11394119158533558</v>
      </c>
      <c r="E99" s="82">
        <f>'LimeT&amp;DSoda'!D38/1000000</f>
        <v>0.11394119158533558</v>
      </c>
      <c r="F99" s="2"/>
    </row>
    <row r="100" spans="1:6" ht="18" x14ac:dyDescent="0.35">
      <c r="A100" s="2"/>
      <c r="B100" s="59"/>
      <c r="C100" s="1753" t="s">
        <v>375</v>
      </c>
      <c r="D100" s="82">
        <f t="shared" si="47"/>
        <v>0</v>
      </c>
      <c r="E100" s="82">
        <v>0</v>
      </c>
      <c r="F100" s="2"/>
    </row>
    <row r="101" spans="1:6" ht="18" x14ac:dyDescent="0.35">
      <c r="A101" s="2"/>
      <c r="B101" s="59"/>
      <c r="C101" s="1753" t="s">
        <v>377</v>
      </c>
      <c r="D101" s="82">
        <f t="shared" si="47"/>
        <v>0</v>
      </c>
      <c r="E101" s="82">
        <v>0</v>
      </c>
      <c r="F101" s="2"/>
    </row>
    <row r="102" spans="1:6" ht="15" x14ac:dyDescent="0.25">
      <c r="A102" s="2"/>
      <c r="B102" s="59"/>
      <c r="C102" s="71" t="s">
        <v>379</v>
      </c>
      <c r="D102" s="32">
        <f t="shared" ref="D102:E102" si="48">SUM(D103:D105)</f>
        <v>4.7611020076877966E-2</v>
      </c>
      <c r="E102" s="32">
        <f t="shared" si="48"/>
        <v>4.7611020076877966E-2</v>
      </c>
      <c r="F102" s="2"/>
    </row>
    <row r="103" spans="1:6" ht="18" x14ac:dyDescent="0.35">
      <c r="A103" s="2"/>
      <c r="B103" s="59"/>
      <c r="C103" s="1753" t="s">
        <v>382</v>
      </c>
      <c r="D103" s="82">
        <f t="shared" ref="D103:D105" si="49">E103/_xlfn.XLOOKUP(C103,C$4:C$7,E$4:E$7,"ERROR")*_xlfn.XLOOKUP(C103,C$4:C$7,D$4:D$7,"ERROR")</f>
        <v>4.7611020076877966E-2</v>
      </c>
      <c r="E103" s="82">
        <f>'LimeT&amp;DSoda'!D39/1000000</f>
        <v>4.7611020076877966E-2</v>
      </c>
      <c r="F103" s="2"/>
    </row>
    <row r="104" spans="1:6" ht="18" x14ac:dyDescent="0.35">
      <c r="A104" s="2"/>
      <c r="B104" s="59"/>
      <c r="C104" s="1753" t="s">
        <v>386</v>
      </c>
      <c r="D104" s="82">
        <f t="shared" si="49"/>
        <v>0</v>
      </c>
      <c r="E104" s="82">
        <v>0</v>
      </c>
      <c r="F104" s="2"/>
    </row>
    <row r="105" spans="1:6" ht="18" x14ac:dyDescent="0.35">
      <c r="A105" s="2"/>
      <c r="B105" s="59"/>
      <c r="C105" s="1753" t="s">
        <v>388</v>
      </c>
      <c r="D105" s="82">
        <f t="shared" si="49"/>
        <v>0</v>
      </c>
      <c r="E105" s="82">
        <v>0</v>
      </c>
      <c r="F105" s="2"/>
    </row>
    <row r="106" spans="1:6" ht="15" x14ac:dyDescent="0.25">
      <c r="A106" s="2"/>
      <c r="B106" s="59"/>
      <c r="C106" s="71" t="s">
        <v>390</v>
      </c>
      <c r="D106" s="32">
        <f t="shared" ref="D106:E106" si="50">SUM(D107:D109)</f>
        <v>3.5971163869434326</v>
      </c>
      <c r="E106" s="32">
        <f t="shared" si="50"/>
        <v>3.5971163869434326</v>
      </c>
      <c r="F106" s="2"/>
    </row>
    <row r="107" spans="1:6" ht="18" x14ac:dyDescent="0.35">
      <c r="A107" s="2"/>
      <c r="B107" s="59"/>
      <c r="C107" s="1753" t="s">
        <v>391</v>
      </c>
      <c r="D107" s="82">
        <f t="shared" ref="D107:D109" si="51">E107/_xlfn.XLOOKUP(C107,C$4:C$7,E$4:E$7,"ERROR")*_xlfn.XLOOKUP(C107,C$4:C$7,D$4:D$7,"ERROR")</f>
        <v>3.5971163869434326</v>
      </c>
      <c r="E107" s="82">
        <f>'Iron And Steel'!M15</f>
        <v>3.5971163869434326</v>
      </c>
      <c r="F107" s="2"/>
    </row>
    <row r="108" spans="1:6" ht="18" x14ac:dyDescent="0.35">
      <c r="A108" s="2"/>
      <c r="B108" s="59"/>
      <c r="C108" s="1753" t="s">
        <v>394</v>
      </c>
      <c r="D108" s="82">
        <f t="shared" si="51"/>
        <v>0</v>
      </c>
      <c r="E108" s="82">
        <v>0</v>
      </c>
      <c r="F108" s="2"/>
    </row>
    <row r="109" spans="1:6" ht="18" x14ac:dyDescent="0.35">
      <c r="A109" s="2"/>
      <c r="B109" s="59"/>
      <c r="C109" s="1753" t="s">
        <v>395</v>
      </c>
      <c r="D109" s="82">
        <f t="shared" si="51"/>
        <v>0</v>
      </c>
      <c r="E109" s="82">
        <v>0</v>
      </c>
      <c r="F109" s="2"/>
    </row>
    <row r="110" spans="1:6" ht="15" x14ac:dyDescent="0.25">
      <c r="A110" s="2"/>
      <c r="B110" s="59"/>
      <c r="C110" s="71" t="s">
        <v>396</v>
      </c>
      <c r="D110" s="32">
        <f t="shared" ref="D110:E110" si="52">SUM(D111:D113)</f>
        <v>5.2064844121172795</v>
      </c>
      <c r="E110" s="32">
        <f t="shared" si="52"/>
        <v>2.1307508309377847</v>
      </c>
      <c r="F110" s="2"/>
    </row>
    <row r="111" spans="1:6" ht="18" x14ac:dyDescent="0.35">
      <c r="A111" s="2"/>
      <c r="B111" s="59"/>
      <c r="C111" s="1753" t="s">
        <v>397</v>
      </c>
      <c r="D111" s="82">
        <f t="shared" ref="D111:D112" si="53">E111/_xlfn.XLOOKUP(C111,C$4:C$7,E$4:E$7,"ERROR")*_xlfn.XLOOKUP(C111,C$4:C$7,D$4:D$7,"ERROR")</f>
        <v>0</v>
      </c>
      <c r="E111" s="82">
        <v>0</v>
      </c>
      <c r="F111" s="2"/>
    </row>
    <row r="112" spans="1:6" ht="18" x14ac:dyDescent="0.35">
      <c r="A112" s="2"/>
      <c r="B112" s="59"/>
      <c r="C112" s="1753" t="s">
        <v>399</v>
      </c>
      <c r="D112" s="82">
        <f t="shared" si="53"/>
        <v>0</v>
      </c>
      <c r="E112" s="82">
        <v>0</v>
      </c>
      <c r="F112" s="2"/>
    </row>
    <row r="113" spans="1:6" ht="18" x14ac:dyDescent="0.35">
      <c r="A113" s="2"/>
      <c r="B113" s="59"/>
      <c r="C113" s="1753" t="s">
        <v>401</v>
      </c>
      <c r="D113" s="82">
        <f>'ODSSubs 20-yr'!V203</f>
        <v>5.2064844121172795</v>
      </c>
      <c r="E113" s="82">
        <f>'ODSSubs 100-yr'!V203</f>
        <v>2.1307508309377847</v>
      </c>
      <c r="F113" s="2"/>
    </row>
    <row r="114" spans="1:6" ht="15" x14ac:dyDescent="0.25">
      <c r="A114" s="2"/>
      <c r="B114" s="59"/>
      <c r="C114" s="71" t="s">
        <v>404</v>
      </c>
      <c r="D114" s="32">
        <f t="shared" ref="D114:E114" si="54">SUM(D115:D117)</f>
        <v>0.17303142493122073</v>
      </c>
      <c r="E114" s="32">
        <f t="shared" si="54"/>
        <v>0.23102547394662984</v>
      </c>
      <c r="F114" s="2"/>
    </row>
    <row r="115" spans="1:6" ht="18" x14ac:dyDescent="0.35">
      <c r="A115" s="2"/>
      <c r="B115" s="59"/>
      <c r="C115" s="1753" t="s">
        <v>405</v>
      </c>
      <c r="D115" s="82">
        <f t="shared" ref="D115:D116" si="55">E115/_xlfn.XLOOKUP(C115,C$4:C$7,E$4:E$7,"ERROR")*_xlfn.XLOOKUP(C115,C$4:C$7,D$4:D$7,"ERROR")</f>
        <v>0</v>
      </c>
      <c r="E115" s="82">
        <v>0</v>
      </c>
      <c r="F115" s="2"/>
    </row>
    <row r="116" spans="1:6" ht="18" x14ac:dyDescent="0.35">
      <c r="A116" s="2"/>
      <c r="B116" s="59"/>
      <c r="C116" s="1753" t="s">
        <v>406</v>
      </c>
      <c r="D116" s="82">
        <f t="shared" si="55"/>
        <v>0</v>
      </c>
      <c r="E116" s="82">
        <v>0</v>
      </c>
      <c r="F116" s="2"/>
    </row>
    <row r="117" spans="1:6" ht="18" x14ac:dyDescent="0.35">
      <c r="A117" s="2"/>
      <c r="B117" s="59"/>
      <c r="C117" s="1753" t="s">
        <v>407</v>
      </c>
      <c r="D117" s="82">
        <f t="array" ref="D117">E117/_xlfn.XLOOKUP("SF6",C$4:C$7,E$4:E$7,"ERROR")*_xlfn.XLOOKUP("SF6",C$4:C$7,D$4:D$7,"ERROR")</f>
        <v>0.17303142493122073</v>
      </c>
      <c r="E117" s="82">
        <f>'LimeT&amp;DSoda'!D48/1000000</f>
        <v>0.23102547394662984</v>
      </c>
      <c r="F117" s="2"/>
    </row>
    <row r="118" spans="1:6" ht="15" x14ac:dyDescent="0.25">
      <c r="A118" s="2"/>
      <c r="B118" s="59"/>
      <c r="C118" s="71" t="s">
        <v>410</v>
      </c>
      <c r="D118" s="32">
        <f t="shared" ref="D118:E118" si="56">SUM(D119:D121)</f>
        <v>0</v>
      </c>
      <c r="E118" s="32">
        <f t="shared" si="56"/>
        <v>0</v>
      </c>
      <c r="F118" s="2"/>
    </row>
    <row r="119" spans="1:6" ht="18" x14ac:dyDescent="0.35">
      <c r="A119" s="2"/>
      <c r="B119" s="59"/>
      <c r="C119" s="1753" t="s">
        <v>412</v>
      </c>
      <c r="D119" s="82">
        <f t="shared" ref="D119:D120" si="57">E119/_xlfn.XLOOKUP(C119,C$4:C$7,E$4:E$7,"ERROR")*_xlfn.XLOOKUP(C119,C$4:C$7,D$4:D$7,"ERROR")</f>
        <v>0</v>
      </c>
      <c r="E119" s="82">
        <v>0</v>
      </c>
      <c r="F119" s="2"/>
    </row>
    <row r="120" spans="1:6" ht="18" x14ac:dyDescent="0.35">
      <c r="A120" s="2"/>
      <c r="B120" s="59"/>
      <c r="C120" s="1753" t="s">
        <v>413</v>
      </c>
      <c r="D120" s="82">
        <f t="shared" si="57"/>
        <v>0</v>
      </c>
      <c r="E120" s="82">
        <v>0</v>
      </c>
      <c r="F120" s="2"/>
    </row>
    <row r="121" spans="1:6" ht="18" x14ac:dyDescent="0.35">
      <c r="A121" s="2"/>
      <c r="B121" s="59"/>
      <c r="C121" s="1753" t="s">
        <v>415</v>
      </c>
      <c r="D121" s="82">
        <f>E121</f>
        <v>0</v>
      </c>
      <c r="E121" s="82">
        <v>0</v>
      </c>
      <c r="F121" s="2"/>
    </row>
    <row r="122" spans="1:6" ht="15" x14ac:dyDescent="0.25">
      <c r="A122" s="2"/>
      <c r="B122" s="59"/>
      <c r="C122" s="71" t="s">
        <v>1744</v>
      </c>
      <c r="D122" s="32">
        <f t="shared" ref="D122:E122" si="58">SUM(D123:D125)</f>
        <v>6.2698079697975711E-4</v>
      </c>
      <c r="E122" s="32">
        <f t="shared" si="58"/>
        <v>6.2698079697975711E-4</v>
      </c>
      <c r="F122" s="2"/>
    </row>
    <row r="123" spans="1:6" ht="18" x14ac:dyDescent="0.35">
      <c r="A123" s="2"/>
      <c r="B123" s="59"/>
      <c r="C123" s="1753" t="s">
        <v>417</v>
      </c>
      <c r="D123" s="82">
        <f t="shared" ref="D123:D124" si="59">E123/_xlfn.XLOOKUP(C123,C$4:C$7,E$4:E$7,"ERROR")*_xlfn.XLOOKUP(C123,C$4:C$7,D$4:D$7,"ERROR")</f>
        <v>6.2698079697975711E-4</v>
      </c>
      <c r="E123" s="82">
        <f>'LimeT&amp;DSoda'!D40/1000000</f>
        <v>6.2698079697975711E-4</v>
      </c>
      <c r="F123" s="2"/>
    </row>
    <row r="124" spans="1:6" ht="18" x14ac:dyDescent="0.35">
      <c r="A124" s="2"/>
      <c r="B124" s="59"/>
      <c r="C124" s="1753" t="s">
        <v>421</v>
      </c>
      <c r="D124" s="82">
        <f t="shared" si="59"/>
        <v>0</v>
      </c>
      <c r="E124" s="82">
        <v>0</v>
      </c>
      <c r="F124" s="2"/>
    </row>
    <row r="125" spans="1:6" ht="18" x14ac:dyDescent="0.35">
      <c r="A125" s="2"/>
      <c r="B125" s="59"/>
      <c r="C125" s="1753" t="s">
        <v>422</v>
      </c>
      <c r="D125" s="82">
        <f>E125</f>
        <v>0</v>
      </c>
      <c r="E125" s="82">
        <v>0</v>
      </c>
      <c r="F125" s="2"/>
    </row>
    <row r="126" spans="1:6" ht="15" x14ac:dyDescent="0.25">
      <c r="A126" s="2"/>
      <c r="B126" s="59"/>
      <c r="C126" s="71" t="s">
        <v>424</v>
      </c>
      <c r="D126" s="32">
        <f t="shared" ref="D126:E126" si="60">SUM(D127:D129)</f>
        <v>0</v>
      </c>
      <c r="E126" s="32">
        <f t="shared" si="60"/>
        <v>0</v>
      </c>
      <c r="F126" s="2"/>
    </row>
    <row r="127" spans="1:6" ht="18" x14ac:dyDescent="0.35">
      <c r="A127" s="2"/>
      <c r="B127" s="59"/>
      <c r="C127" s="1753" t="s">
        <v>427</v>
      </c>
      <c r="D127" s="82">
        <f t="shared" ref="D127:D128" si="61">E127/_xlfn.XLOOKUP(C127,C$4:C$7,E$4:E$7,"ERROR")*_xlfn.XLOOKUP(C127,C$4:C$7,D$4:D$7,"ERROR")</f>
        <v>0</v>
      </c>
      <c r="E127" s="82">
        <v>0</v>
      </c>
      <c r="F127" s="2"/>
    </row>
    <row r="128" spans="1:6" ht="18" x14ac:dyDescent="0.35">
      <c r="A128" s="2"/>
      <c r="B128" s="59"/>
      <c r="C128" s="1753" t="s">
        <v>430</v>
      </c>
      <c r="D128" s="82">
        <f t="shared" si="61"/>
        <v>0</v>
      </c>
      <c r="E128" s="82">
        <v>0</v>
      </c>
      <c r="F128" s="2"/>
    </row>
    <row r="129" spans="1:6" ht="18" x14ac:dyDescent="0.35">
      <c r="A129" s="2"/>
      <c r="B129" s="125"/>
      <c r="C129" s="1753" t="s">
        <v>431</v>
      </c>
      <c r="D129" s="82">
        <f>E129</f>
        <v>0</v>
      </c>
      <c r="E129" s="82">
        <v>0</v>
      </c>
      <c r="F129" s="2"/>
    </row>
    <row r="130" spans="1:6" ht="15" x14ac:dyDescent="0.25">
      <c r="A130" s="2"/>
      <c r="B130" s="37" t="s">
        <v>432</v>
      </c>
      <c r="C130" s="201"/>
      <c r="D130" s="44">
        <f t="shared" ref="D130:E130" si="62">D131+D135+D139+D143+D147</f>
        <v>3.2137563740237058</v>
      </c>
      <c r="E130" s="44">
        <f t="shared" si="62"/>
        <v>1.9082747160482334</v>
      </c>
      <c r="F130" s="2"/>
    </row>
    <row r="131" spans="1:6" ht="15" x14ac:dyDescent="0.25">
      <c r="A131" s="2"/>
      <c r="B131" s="47"/>
      <c r="C131" s="71" t="s">
        <v>434</v>
      </c>
      <c r="D131" s="32">
        <f t="shared" ref="D131:E131" si="63">SUM(D132:D134)</f>
        <v>1.6203959941472983</v>
      </c>
      <c r="E131" s="32">
        <f t="shared" si="63"/>
        <v>0.55676167779199037</v>
      </c>
      <c r="F131" s="2"/>
    </row>
    <row r="132" spans="1:6" ht="18" x14ac:dyDescent="0.35">
      <c r="A132" s="2"/>
      <c r="B132" s="59"/>
      <c r="C132" s="1753" t="s">
        <v>435</v>
      </c>
      <c r="D132" s="82">
        <f t="shared" ref="D132:D134" si="64">E132/_xlfn.XLOOKUP(C132,C$4:C$7,E$4:E$7,"ERROR")*_xlfn.XLOOKUP(C132,C$4:C$7,D$4:D$7,"ERROR")</f>
        <v>0</v>
      </c>
      <c r="E132" s="82">
        <v>0</v>
      </c>
      <c r="F132" s="2"/>
    </row>
    <row r="133" spans="1:6" ht="18" x14ac:dyDescent="0.35">
      <c r="A133" s="2"/>
      <c r="B133" s="59"/>
      <c r="C133" s="1753" t="s">
        <v>437</v>
      </c>
      <c r="D133" s="82">
        <f t="shared" si="64"/>
        <v>1.6203959941472983</v>
      </c>
      <c r="E133" s="82">
        <f>Agricultural!M25</f>
        <v>0.55676167779199037</v>
      </c>
      <c r="F133" s="2"/>
    </row>
    <row r="134" spans="1:6" ht="18" x14ac:dyDescent="0.35">
      <c r="A134" s="2"/>
      <c r="B134" s="59"/>
      <c r="C134" s="1753" t="s">
        <v>439</v>
      </c>
      <c r="D134" s="82">
        <f t="shared" si="64"/>
        <v>0</v>
      </c>
      <c r="E134" s="82">
        <v>0</v>
      </c>
      <c r="F134" s="2"/>
    </row>
    <row r="135" spans="1:6" ht="15" x14ac:dyDescent="0.25">
      <c r="A135" s="2"/>
      <c r="B135" s="59"/>
      <c r="C135" s="71" t="s">
        <v>440</v>
      </c>
      <c r="D135" s="32">
        <f t="shared" ref="D135:E135" si="65">SUM(D136:D138)</f>
        <v>0.55582282606134781</v>
      </c>
      <c r="E135" s="32">
        <f t="shared" si="65"/>
        <v>0.32385656496664295</v>
      </c>
      <c r="F135" s="2"/>
    </row>
    <row r="136" spans="1:6" ht="18" x14ac:dyDescent="0.35">
      <c r="A136" s="2"/>
      <c r="B136" s="59"/>
      <c r="C136" s="1753" t="s">
        <v>443</v>
      </c>
      <c r="D136" s="82">
        <f t="shared" ref="D136:D138" si="66">E136/_xlfn.XLOOKUP(C136,C$4:C$7,E$4:E$7,"ERROR")*_xlfn.XLOOKUP(C136,C$4:C$7,D$4:D$7,"ERROR")</f>
        <v>0</v>
      </c>
      <c r="E136" s="82">
        <v>0</v>
      </c>
      <c r="F136" s="2"/>
    </row>
    <row r="137" spans="1:6" ht="18" x14ac:dyDescent="0.35">
      <c r="A137" s="2"/>
      <c r="B137" s="59"/>
      <c r="C137" s="1753" t="s">
        <v>446</v>
      </c>
      <c r="D137" s="82">
        <f t="shared" si="66"/>
        <v>0.35338950095478494</v>
      </c>
      <c r="E137" s="82">
        <f>Agricultural!W59</f>
        <v>0.12142323986008002</v>
      </c>
      <c r="F137" s="2"/>
    </row>
    <row r="138" spans="1:6" ht="18" x14ac:dyDescent="0.35">
      <c r="A138" s="2"/>
      <c r="B138" s="59"/>
      <c r="C138" s="1753" t="s">
        <v>448</v>
      </c>
      <c r="D138" s="82">
        <f t="shared" si="66"/>
        <v>0.20243332510656292</v>
      </c>
      <c r="E138" s="82">
        <f>Agricultural!U85</f>
        <v>0.20243332510656292</v>
      </c>
      <c r="F138" s="2"/>
    </row>
    <row r="139" spans="1:6" ht="15" x14ac:dyDescent="0.25">
      <c r="A139" s="2"/>
      <c r="B139" s="59"/>
      <c r="C139" s="71" t="s">
        <v>450</v>
      </c>
      <c r="D139" s="32">
        <f t="shared" ref="D139:E139" si="67">SUM(D140:D142)</f>
        <v>0.89797074448265468</v>
      </c>
      <c r="E139" s="32">
        <f t="shared" si="67"/>
        <v>0.89797074448265468</v>
      </c>
      <c r="F139" s="2"/>
    </row>
    <row r="140" spans="1:6" ht="18" x14ac:dyDescent="0.35">
      <c r="A140" s="2"/>
      <c r="B140" s="59"/>
      <c r="C140" s="1753" t="s">
        <v>451</v>
      </c>
      <c r="D140" s="82">
        <f t="shared" ref="D140:D142" si="68">E140/_xlfn.XLOOKUP(C140,C$4:C$7,E$4:E$7,"ERROR")*_xlfn.XLOOKUP(C140,C$4:C$7,D$4:D$7,"ERROR")</f>
        <v>0</v>
      </c>
      <c r="E140" s="82">
        <v>0</v>
      </c>
      <c r="F140" s="2"/>
    </row>
    <row r="141" spans="1:6" ht="18" x14ac:dyDescent="0.35">
      <c r="A141" s="2"/>
      <c r="B141" s="59"/>
      <c r="C141" s="1753" t="s">
        <v>452</v>
      </c>
      <c r="D141" s="82">
        <f t="shared" si="68"/>
        <v>0</v>
      </c>
      <c r="E141" s="82">
        <v>0</v>
      </c>
      <c r="F141" s="2"/>
    </row>
    <row r="142" spans="1:6" ht="18" x14ac:dyDescent="0.35">
      <c r="A142" s="2"/>
      <c r="B142" s="59"/>
      <c r="C142" s="1753" t="s">
        <v>453</v>
      </c>
      <c r="D142" s="82">
        <f t="shared" si="68"/>
        <v>0.89797074448265468</v>
      </c>
      <c r="E142" s="82">
        <f>Agricultural!E221</f>
        <v>0.89797074448265468</v>
      </c>
      <c r="F142" s="2"/>
    </row>
    <row r="143" spans="1:6" ht="15" x14ac:dyDescent="0.25">
      <c r="A143" s="2"/>
      <c r="B143" s="59"/>
      <c r="C143" s="71" t="s">
        <v>455</v>
      </c>
      <c r="D143" s="32">
        <f t="shared" ref="D143:E143" si="69">SUM(D144:D146)</f>
        <v>1.7149239332404843E-2</v>
      </c>
      <c r="E143" s="32">
        <f t="shared" si="69"/>
        <v>7.2681588069453389E-3</v>
      </c>
      <c r="F143" s="2"/>
    </row>
    <row r="144" spans="1:6" ht="18" x14ac:dyDescent="0.35">
      <c r="A144" s="2"/>
      <c r="B144" s="59"/>
      <c r="C144" s="1753" t="s">
        <v>457</v>
      </c>
      <c r="D144" s="82">
        <f t="shared" ref="D144:D146" si="70">E144/_xlfn.XLOOKUP(C144,C$4:C$7,E$4:E$7,"ERROR")*_xlfn.XLOOKUP(C144,C$4:C$7,D$4:D$7,"ERROR")</f>
        <v>0</v>
      </c>
      <c r="E144" s="82">
        <v>0</v>
      </c>
      <c r="F144" s="2"/>
    </row>
    <row r="145" spans="1:7" ht="18" x14ac:dyDescent="0.35">
      <c r="A145" s="2"/>
      <c r="B145" s="59"/>
      <c r="C145" s="1753" t="s">
        <v>458</v>
      </c>
      <c r="D145" s="82">
        <f t="shared" si="70"/>
        <v>1.5053353445915792E-2</v>
      </c>
      <c r="E145" s="82">
        <f>Agricultural!E231</f>
        <v>5.1722729204562879E-3</v>
      </c>
      <c r="F145" s="2"/>
    </row>
    <row r="146" spans="1:7" ht="18" x14ac:dyDescent="0.35">
      <c r="A146" s="2"/>
      <c r="B146" s="59"/>
      <c r="C146" s="1753" t="s">
        <v>459</v>
      </c>
      <c r="D146" s="82">
        <f t="shared" si="70"/>
        <v>2.095885886489051E-3</v>
      </c>
      <c r="E146" s="82">
        <f>Agricultural!E235</f>
        <v>2.095885886489051E-3</v>
      </c>
      <c r="F146" s="2"/>
    </row>
    <row r="147" spans="1:7" ht="15" x14ac:dyDescent="0.25">
      <c r="A147" s="2"/>
      <c r="B147" s="59"/>
      <c r="C147" s="71" t="s">
        <v>461</v>
      </c>
      <c r="D147" s="32">
        <f t="shared" ref="D147:E147" si="71">SUM(D148:D150)</f>
        <v>0.12241756999999999</v>
      </c>
      <c r="E147" s="32">
        <f t="shared" si="71"/>
        <v>0.12241756999999999</v>
      </c>
      <c r="F147" s="2"/>
    </row>
    <row r="148" spans="1:7" ht="18" x14ac:dyDescent="0.35">
      <c r="A148" s="2"/>
      <c r="B148" s="59"/>
      <c r="C148" s="1753" t="s">
        <v>465</v>
      </c>
      <c r="D148" s="82">
        <f t="shared" ref="D148:D150" si="72">E148/_xlfn.XLOOKUP(C148,C$4:C$7,E$4:E$7,"ERROR")*_xlfn.XLOOKUP(C148,C$4:C$7,D$4:D$7,"ERROR")</f>
        <v>0.12241756999999999</v>
      </c>
      <c r="E148" s="82">
        <f>Agriculture_Liming!G7+Agriculture_Liming!G21</f>
        <v>0.12241756999999999</v>
      </c>
      <c r="F148" s="2"/>
    </row>
    <row r="149" spans="1:7" ht="18" x14ac:dyDescent="0.35">
      <c r="A149" s="2"/>
      <c r="B149" s="59"/>
      <c r="C149" s="1753" t="s">
        <v>467</v>
      </c>
      <c r="D149" s="82">
        <f t="shared" si="72"/>
        <v>0</v>
      </c>
      <c r="E149" s="82">
        <v>0</v>
      </c>
      <c r="F149" s="2"/>
    </row>
    <row r="150" spans="1:7" ht="18" x14ac:dyDescent="0.35">
      <c r="A150" s="2"/>
      <c r="B150" s="125"/>
      <c r="C150" s="1753" t="s">
        <v>468</v>
      </c>
      <c r="D150" s="82">
        <f t="shared" si="72"/>
        <v>0</v>
      </c>
      <c r="E150" s="82">
        <v>0</v>
      </c>
      <c r="F150" s="2"/>
    </row>
    <row r="151" spans="1:7" ht="15" x14ac:dyDescent="0.25">
      <c r="A151" s="2"/>
      <c r="B151" s="267" t="s">
        <v>469</v>
      </c>
      <c r="C151" s="268"/>
      <c r="D151" s="202">
        <f t="shared" ref="D151:E151" si="73">D152+D156+D160+D164</f>
        <v>9.7951336343428643</v>
      </c>
      <c r="E151" s="202">
        <f t="shared" si="73"/>
        <v>4.6838467874240344</v>
      </c>
      <c r="F151" s="2"/>
      <c r="G151" s="271"/>
    </row>
    <row r="152" spans="1:7" ht="15" x14ac:dyDescent="0.25">
      <c r="A152" s="2"/>
      <c r="B152" s="47"/>
      <c r="C152" s="71" t="s">
        <v>472</v>
      </c>
      <c r="D152" s="32">
        <f t="shared" ref="D152:E152" si="74">SUM(D153:D155)</f>
        <v>1.2898990375360229</v>
      </c>
      <c r="E152" s="32">
        <f t="shared" si="74"/>
        <v>1.2898990375360229</v>
      </c>
      <c r="F152" s="2"/>
    </row>
    <row r="153" spans="1:7" ht="18" x14ac:dyDescent="0.35">
      <c r="A153" s="2"/>
      <c r="B153" s="59"/>
      <c r="C153" s="1753" t="s">
        <v>474</v>
      </c>
      <c r="D153" s="82">
        <f t="shared" ref="D153:D155" si="75">E153/_xlfn.XLOOKUP(C153,C$4:C$7,E$4:E$7,"ERROR")*_xlfn.XLOOKUP(C153,C$4:C$7,D$4:D$7,"ERROR")</f>
        <v>1.2721711605512047</v>
      </c>
      <c r="E153" s="82">
        <f>Incinerators!C34</f>
        <v>1.2721711605512047</v>
      </c>
      <c r="F153" s="2"/>
    </row>
    <row r="154" spans="1:7" ht="18" x14ac:dyDescent="0.35">
      <c r="A154" s="2"/>
      <c r="B154" s="59"/>
      <c r="C154" s="1753" t="s">
        <v>479</v>
      </c>
      <c r="D154" s="82">
        <f t="shared" si="75"/>
        <v>0</v>
      </c>
      <c r="E154" s="82">
        <v>0</v>
      </c>
      <c r="F154" s="2"/>
    </row>
    <row r="155" spans="1:7" ht="18" x14ac:dyDescent="0.35">
      <c r="A155" s="2"/>
      <c r="B155" s="59"/>
      <c r="C155" s="1753" t="s">
        <v>480</v>
      </c>
      <c r="D155" s="82">
        <f t="shared" si="75"/>
        <v>1.7727876984818036E-2</v>
      </c>
      <c r="E155" s="82">
        <f>Incinerators!C45</f>
        <v>1.7727876984818036E-2</v>
      </c>
      <c r="F155" s="2"/>
    </row>
    <row r="156" spans="1:7" ht="15" x14ac:dyDescent="0.25">
      <c r="A156" s="2"/>
      <c r="B156" s="59"/>
      <c r="C156" s="71" t="s">
        <v>482</v>
      </c>
      <c r="D156" s="32">
        <f t="shared" ref="D156:E156" si="76">SUM(D157:D159)</f>
        <v>6.7720188747189356</v>
      </c>
      <c r="E156" s="32">
        <f t="shared" si="76"/>
        <v>2.6778905650010829</v>
      </c>
      <c r="F156" s="2"/>
      <c r="G156" s="271"/>
    </row>
    <row r="157" spans="1:7" ht="18" x14ac:dyDescent="0.35">
      <c r="A157" s="2"/>
      <c r="B157" s="59"/>
      <c r="C157" s="1753" t="s">
        <v>483</v>
      </c>
      <c r="D157" s="82">
        <f t="shared" ref="D157:D159" si="77">E157/_xlfn.XLOOKUP(C157,C$4:C$7,E$4:E$7,"ERROR")*_xlfn.XLOOKUP(C157,C$4:C$7,D$4:D$7,"ERROR")</f>
        <v>0.53481026779417729</v>
      </c>
      <c r="E157" s="82">
        <f>Landfills!V101</f>
        <v>0.53481026779417729</v>
      </c>
      <c r="F157" s="2"/>
    </row>
    <row r="158" spans="1:7" ht="18" x14ac:dyDescent="0.35">
      <c r="A158" s="2"/>
      <c r="B158" s="59"/>
      <c r="C158" s="1753" t="s">
        <v>486</v>
      </c>
      <c r="D158" s="82">
        <f t="shared" si="77"/>
        <v>6.2372086069247583</v>
      </c>
      <c r="E158" s="82">
        <f>Landfills!V97/1000000</f>
        <v>2.1430802972069056</v>
      </c>
      <c r="F158" s="2"/>
    </row>
    <row r="159" spans="1:7" ht="18" x14ac:dyDescent="0.35">
      <c r="A159" s="2"/>
      <c r="B159" s="59"/>
      <c r="C159" s="1753" t="s">
        <v>487</v>
      </c>
      <c r="D159" s="82">
        <f t="shared" si="77"/>
        <v>0</v>
      </c>
      <c r="E159" s="82">
        <v>0</v>
      </c>
      <c r="F159" s="2"/>
    </row>
    <row r="160" spans="1:7" ht="15" x14ac:dyDescent="0.25">
      <c r="A160" s="2"/>
      <c r="B160" s="59"/>
      <c r="C160" s="71" t="s">
        <v>489</v>
      </c>
      <c r="D160" s="32">
        <f t="shared" ref="D160:E160" si="78">SUM(D161:D163)</f>
        <v>1.7002157220879059</v>
      </c>
      <c r="E160" s="32">
        <f t="shared" si="78"/>
        <v>0.6830571848869279</v>
      </c>
      <c r="F160" s="2"/>
    </row>
    <row r="161" spans="1:7" ht="18" x14ac:dyDescent="0.35">
      <c r="A161" s="2"/>
      <c r="B161" s="59"/>
      <c r="C161" s="1753" t="s">
        <v>490</v>
      </c>
      <c r="D161" s="82">
        <f t="shared" ref="D161:D163" si="79">E161/_xlfn.XLOOKUP(C161,C$4:C$7,E$4:E$7,"ERROR")*_xlfn.XLOOKUP(C161,C$4:C$7,D$4:D$7,"ERROR")</f>
        <v>0</v>
      </c>
      <c r="E161" s="82">
        <v>0</v>
      </c>
      <c r="F161" s="2"/>
    </row>
    <row r="162" spans="1:7" ht="18" x14ac:dyDescent="0.35">
      <c r="A162" s="2"/>
      <c r="B162" s="59"/>
      <c r="C162" s="1753" t="s">
        <v>491</v>
      </c>
      <c r="D162" s="82">
        <f t="shared" si="79"/>
        <v>1.5495923681185633</v>
      </c>
      <c r="E162" s="82">
        <f>Wastewater!C51+Wastewater!C53</f>
        <v>0.53243383091758512</v>
      </c>
      <c r="F162" s="2"/>
    </row>
    <row r="163" spans="1:7" ht="18" x14ac:dyDescent="0.35">
      <c r="A163" s="2"/>
      <c r="B163" s="59"/>
      <c r="C163" s="1753" t="s">
        <v>492</v>
      </c>
      <c r="D163" s="82">
        <f t="shared" si="79"/>
        <v>0.15062335396934279</v>
      </c>
      <c r="E163" s="82">
        <f>Wastewater!C52</f>
        <v>0.15062335396934279</v>
      </c>
      <c r="F163" s="2"/>
    </row>
    <row r="164" spans="1:7" ht="15" x14ac:dyDescent="0.25">
      <c r="A164" s="2"/>
      <c r="B164" s="59"/>
      <c r="C164" s="71" t="s">
        <v>496</v>
      </c>
      <c r="D164" s="32">
        <f t="shared" ref="D164:E164" si="80">SUM(D165:D167)</f>
        <v>3.3000000000000002E-2</v>
      </c>
      <c r="E164" s="32">
        <f t="shared" si="80"/>
        <v>3.3000000000000002E-2</v>
      </c>
      <c r="F164" s="2"/>
    </row>
    <row r="165" spans="1:7" ht="18" x14ac:dyDescent="0.35">
      <c r="A165" s="2"/>
      <c r="B165" s="59"/>
      <c r="C165" s="1753" t="s">
        <v>497</v>
      </c>
      <c r="D165" s="82">
        <f t="shared" ref="D165:D167" si="81">E165/_xlfn.XLOOKUP(C165,C$4:C$7,E$4:E$7,"ERROR")*_xlfn.XLOOKUP(C165,C$4:C$7,D$4:D$7,"ERROR")</f>
        <v>3.3000000000000002E-2</v>
      </c>
      <c r="E165" s="82">
        <f>OpenBurn!D7</f>
        <v>3.3000000000000002E-2</v>
      </c>
      <c r="F165" s="2"/>
    </row>
    <row r="166" spans="1:7" ht="18" x14ac:dyDescent="0.35">
      <c r="A166" s="2"/>
      <c r="B166" s="59"/>
      <c r="C166" s="1753" t="s">
        <v>503</v>
      </c>
      <c r="D166" s="82">
        <f t="shared" si="81"/>
        <v>0</v>
      </c>
      <c r="E166" s="82">
        <v>0</v>
      </c>
      <c r="F166" s="2"/>
    </row>
    <row r="167" spans="1:7" ht="18" x14ac:dyDescent="0.35">
      <c r="A167" s="2"/>
      <c r="B167" s="125"/>
      <c r="C167" s="1753" t="s">
        <v>504</v>
      </c>
      <c r="D167" s="82">
        <f t="shared" si="81"/>
        <v>0</v>
      </c>
      <c r="E167" s="82">
        <v>0</v>
      </c>
      <c r="F167" s="2"/>
    </row>
    <row r="168" spans="1:7" ht="15" x14ac:dyDescent="0.25">
      <c r="A168" s="2"/>
      <c r="B168" s="1754" t="s">
        <v>505</v>
      </c>
      <c r="C168" s="1755"/>
      <c r="D168" s="44">
        <f t="shared" ref="D168:E168" si="82">D151+D130+D93+D80+D47+D30+D11</f>
        <v>122.56060142035237</v>
      </c>
      <c r="E168" s="44">
        <f t="shared" si="82"/>
        <v>110.34248439652636</v>
      </c>
      <c r="F168" s="2"/>
      <c r="G168" s="271"/>
    </row>
    <row r="169" spans="1:7" ht="15" x14ac:dyDescent="0.25">
      <c r="A169" s="2"/>
      <c r="B169" s="290"/>
      <c r="C169" s="291"/>
      <c r="D169" s="293"/>
      <c r="E169" s="295"/>
      <c r="F169" s="2"/>
    </row>
    <row r="170" spans="1:7" ht="15" x14ac:dyDescent="0.25">
      <c r="A170" s="2"/>
      <c r="B170" s="1754" t="s">
        <v>509</v>
      </c>
      <c r="C170" s="1755"/>
      <c r="D170" s="44">
        <f t="shared" ref="D170" si="83">D171+D172+D173+D175+D178+D179</f>
        <v>-8.3660396865416953</v>
      </c>
      <c r="E170" s="44">
        <f>E171+E172+E173+E175+E178+E179</f>
        <v>-8.9931458277288598</v>
      </c>
      <c r="F170" s="2"/>
    </row>
    <row r="171" spans="1:7" ht="15" x14ac:dyDescent="0.25">
      <c r="A171" s="2"/>
      <c r="B171" s="47"/>
      <c r="C171" s="50" t="s">
        <v>512</v>
      </c>
      <c r="D171" s="82">
        <f t="shared" ref="D171:D172" si="84">E171</f>
        <v>-7.4954002019873522</v>
      </c>
      <c r="E171" s="82">
        <f>Land_Use!C266</f>
        <v>-7.4954002019873522</v>
      </c>
      <c r="F171" s="2"/>
    </row>
    <row r="172" spans="1:7" ht="15" x14ac:dyDescent="0.25">
      <c r="A172" s="2"/>
      <c r="B172" s="59"/>
      <c r="C172" s="50" t="s">
        <v>514</v>
      </c>
      <c r="D172" s="82">
        <f t="shared" si="84"/>
        <v>-0.90467683894012485</v>
      </c>
      <c r="E172" s="82">
        <f>Land_Use!C273</f>
        <v>-0.90467683894012485</v>
      </c>
      <c r="F172" s="2"/>
    </row>
    <row r="173" spans="1:7" ht="15" x14ac:dyDescent="0.25">
      <c r="A173" s="2"/>
      <c r="B173" s="59"/>
      <c r="C173" s="50" t="s">
        <v>515</v>
      </c>
      <c r="D173" s="32">
        <f t="shared" ref="D173:E173" si="85">D174</f>
        <v>2.0102939999999996E-2</v>
      </c>
      <c r="E173" s="32">
        <f t="shared" si="85"/>
        <v>2.010294E-2</v>
      </c>
      <c r="F173" s="2"/>
    </row>
    <row r="174" spans="1:7" ht="18" x14ac:dyDescent="0.35">
      <c r="A174" s="2"/>
      <c r="B174" s="59"/>
      <c r="C174" s="1753" t="s">
        <v>517</v>
      </c>
      <c r="D174" s="82">
        <f t="array" ref="D174">E174/_xlfn.XLOOKUP(C174,C$4:C$7,E$4:E$7,"ERROR")*_xlfn.XLOOKUP(C174,C$4:C$7,D$4:D$7,"ERROR")</f>
        <v>2.0102939999999996E-2</v>
      </c>
      <c r="E174" s="82">
        <f>Land_Use!C277</f>
        <v>2.010294E-2</v>
      </c>
      <c r="F174" s="2"/>
    </row>
    <row r="175" spans="1:7" ht="15" x14ac:dyDescent="0.25">
      <c r="A175" s="2"/>
      <c r="B175" s="59"/>
      <c r="C175" s="50" t="s">
        <v>518</v>
      </c>
      <c r="D175" s="32">
        <f t="shared" ref="D175:E175" si="86">D176+D177</f>
        <v>0.11580717674655358</v>
      </c>
      <c r="E175" s="32">
        <f t="shared" si="86"/>
        <v>4.6631303023795194E-2</v>
      </c>
      <c r="F175" s="2"/>
    </row>
    <row r="176" spans="1:7" ht="18" x14ac:dyDescent="0.35">
      <c r="A176" s="2"/>
      <c r="B176" s="59"/>
      <c r="C176" s="1753" t="s">
        <v>519</v>
      </c>
      <c r="D176" s="82">
        <f t="shared" ref="D176:D177" si="87">E176/_xlfn.XLOOKUP(C176,C$4:C$7,E$4:E$7,"ERROR")*_xlfn.XLOOKUP(C176,C$4:C$7,D$4:D$7,"ERROR")</f>
        <v>0.10538613407669759</v>
      </c>
      <c r="E176" s="82">
        <f>Land_Use!C279</f>
        <v>3.6210260353939192E-2</v>
      </c>
      <c r="F176" s="2"/>
    </row>
    <row r="177" spans="1:7" ht="18" x14ac:dyDescent="0.35">
      <c r="A177" s="2"/>
      <c r="B177" s="59"/>
      <c r="C177" s="1753" t="s">
        <v>520</v>
      </c>
      <c r="D177" s="82">
        <f t="shared" si="87"/>
        <v>1.0421042669856002E-2</v>
      </c>
      <c r="E177" s="82">
        <f>Land_Use!C280</f>
        <v>1.0421042669856002E-2</v>
      </c>
      <c r="F177" s="2"/>
    </row>
    <row r="178" spans="1:7" ht="15" x14ac:dyDescent="0.25">
      <c r="A178" s="2"/>
      <c r="B178" s="59"/>
      <c r="C178" s="50" t="s">
        <v>521</v>
      </c>
      <c r="D178" s="82">
        <f>E178</f>
        <v>-0.41589139400000003</v>
      </c>
      <c r="E178" s="82">
        <f>Land_Use!C281</f>
        <v>-0.41589139400000003</v>
      </c>
      <c r="F178" s="2"/>
    </row>
    <row r="179" spans="1:7" ht="15" x14ac:dyDescent="0.25">
      <c r="A179" s="2"/>
      <c r="B179" s="59"/>
      <c r="C179" s="50" t="s">
        <v>522</v>
      </c>
      <c r="D179" s="32">
        <f t="shared" ref="D179:E179" si="88">D180+D181</f>
        <v>0.31401863163923061</v>
      </c>
      <c r="E179" s="32">
        <f t="shared" si="88"/>
        <v>-0.24391163582517561</v>
      </c>
      <c r="F179" s="2"/>
    </row>
    <row r="180" spans="1:7" ht="18" x14ac:dyDescent="0.35">
      <c r="A180" s="2"/>
      <c r="B180" s="59"/>
      <c r="C180" s="1753" t="s">
        <v>523</v>
      </c>
      <c r="D180" s="82">
        <f t="shared" ref="D180:D181" si="89">E180/_xlfn.XLOOKUP(C180,C$4:C$7,E$4:E$7,"ERROR")*_xlfn.XLOOKUP(C180,C$4:C$7,D$4:D$7,"ERROR")</f>
        <v>-0.53596143811892671</v>
      </c>
      <c r="E180" s="82">
        <f>Land_Use!C283</f>
        <v>-0.53596143811892671</v>
      </c>
      <c r="F180" s="2"/>
    </row>
    <row r="181" spans="1:7" ht="18" x14ac:dyDescent="0.35">
      <c r="A181" s="2"/>
      <c r="B181" s="125"/>
      <c r="C181" s="1753" t="s">
        <v>524</v>
      </c>
      <c r="D181" s="82">
        <f t="shared" si="89"/>
        <v>0.84998006975815732</v>
      </c>
      <c r="E181" s="82">
        <f>Land_Use!C284</f>
        <v>0.2920498022937511</v>
      </c>
      <c r="F181" s="2"/>
    </row>
    <row r="182" spans="1:7" ht="15" x14ac:dyDescent="0.25">
      <c r="A182" s="2"/>
      <c r="B182" s="1756" t="s">
        <v>525</v>
      </c>
      <c r="C182" s="1757"/>
      <c r="D182" s="44">
        <f t="shared" ref="D182:E182" si="90">D168+D170</f>
        <v>114.19456173381067</v>
      </c>
      <c r="E182" s="44">
        <f t="shared" si="90"/>
        <v>101.34933856879749</v>
      </c>
      <c r="F182" s="2"/>
      <c r="G182" s="271"/>
    </row>
    <row r="183" spans="1:7" ht="15" x14ac:dyDescent="0.25">
      <c r="A183" s="2"/>
      <c r="B183" s="314"/>
      <c r="C183" s="315"/>
      <c r="D183" s="316"/>
      <c r="E183" s="316"/>
    </row>
    <row r="184" spans="1:7" ht="15" x14ac:dyDescent="0.25">
      <c r="A184" s="2"/>
      <c r="B184" s="3"/>
      <c r="C184" s="3"/>
      <c r="E184" s="317"/>
    </row>
    <row r="185" spans="1:7" ht="15" x14ac:dyDescent="0.25">
      <c r="A185" s="2"/>
      <c r="B185" s="3"/>
      <c r="C185" s="318"/>
      <c r="E185" s="319"/>
    </row>
    <row r="186" spans="1:7" ht="15" x14ac:dyDescent="0.25">
      <c r="A186" s="2"/>
      <c r="B186" s="320"/>
      <c r="C186" s="321"/>
      <c r="D186" s="322" t="s">
        <v>530</v>
      </c>
      <c r="E186" s="323" t="s">
        <v>531</v>
      </c>
    </row>
    <row r="187" spans="1:7" ht="15" x14ac:dyDescent="0.25">
      <c r="A187" s="2"/>
      <c r="B187" s="3"/>
      <c r="C187" s="324" t="s">
        <v>28</v>
      </c>
      <c r="D187" s="326">
        <f t="shared" ref="D187:E187" si="91">D11</f>
        <v>42.479139431028941</v>
      </c>
      <c r="E187" s="326">
        <f t="shared" si="91"/>
        <v>42.46104892495508</v>
      </c>
    </row>
    <row r="188" spans="1:7" ht="15" x14ac:dyDescent="0.25">
      <c r="A188" s="2"/>
      <c r="B188" s="3"/>
      <c r="C188" s="324" t="s">
        <v>534</v>
      </c>
      <c r="D188" s="326">
        <f t="shared" ref="D188:E188" si="92">D30</f>
        <v>17.130056871197549</v>
      </c>
      <c r="E188" s="326">
        <f t="shared" si="92"/>
        <v>16.89455466710805</v>
      </c>
    </row>
    <row r="189" spans="1:7" ht="15" x14ac:dyDescent="0.25">
      <c r="A189" s="2"/>
      <c r="B189" s="3"/>
      <c r="C189" s="324" t="s">
        <v>537</v>
      </c>
      <c r="D189" s="326">
        <f t="shared" ref="D189:E189" si="93">D48+D56</f>
        <v>29.740880322580647</v>
      </c>
      <c r="E189" s="326">
        <f t="shared" si="93"/>
        <v>29.622858894009219</v>
      </c>
    </row>
    <row r="190" spans="1:7" x14ac:dyDescent="0.2">
      <c r="A190" s="2"/>
      <c r="C190" s="324" t="s">
        <v>539</v>
      </c>
      <c r="D190" s="326">
        <f t="shared" ref="D190:E190" si="94">D52+D60+D64+D68+D72+D76</f>
        <v>5.8216427574384841</v>
      </c>
      <c r="E190" s="326">
        <f t="shared" si="94"/>
        <v>5.7997330224155377</v>
      </c>
    </row>
    <row r="191" spans="1:7" x14ac:dyDescent="0.2">
      <c r="A191" s="2"/>
      <c r="C191" s="324" t="str">
        <f>B80</f>
        <v>Fossil Fuel Industry</v>
      </c>
      <c r="D191" s="326">
        <f t="shared" ref="D191:E191" si="95">D80</f>
        <v>3.757938885579045</v>
      </c>
      <c r="E191" s="326">
        <f t="shared" si="95"/>
        <v>1.3678537725691606</v>
      </c>
    </row>
    <row r="192" spans="1:7" x14ac:dyDescent="0.2">
      <c r="A192" s="2"/>
      <c r="C192" s="324" t="str">
        <f>B93</f>
        <v>Industrial Processes and Product Use</v>
      </c>
      <c r="D192" s="326">
        <f t="shared" ref="D192:E192" si="96">D93</f>
        <v>10.622053144161127</v>
      </c>
      <c r="E192" s="326">
        <f t="shared" si="96"/>
        <v>7.6043136119970409</v>
      </c>
    </row>
    <row r="193" spans="1:5" x14ac:dyDescent="0.2">
      <c r="A193" s="2"/>
      <c r="C193" s="324" t="str">
        <f>B130</f>
        <v>Agriculture</v>
      </c>
      <c r="D193" s="326">
        <f t="shared" ref="D193:E193" si="97">D130</f>
        <v>3.2137563740237058</v>
      </c>
      <c r="E193" s="326">
        <f t="shared" si="97"/>
        <v>1.9082747160482334</v>
      </c>
    </row>
    <row r="194" spans="1:5" x14ac:dyDescent="0.2">
      <c r="A194" s="2"/>
      <c r="C194" s="324" t="str">
        <f>B151</f>
        <v>Waste Management</v>
      </c>
      <c r="D194" s="326">
        <f t="shared" ref="D194:E194" si="98">D151</f>
        <v>9.7951336343428643</v>
      </c>
      <c r="E194" s="326">
        <f t="shared" si="98"/>
        <v>4.6838467874240344</v>
      </c>
    </row>
    <row r="195" spans="1:5" x14ac:dyDescent="0.2">
      <c r="A195" s="2"/>
      <c r="C195" s="334" t="s">
        <v>95</v>
      </c>
      <c r="D195" s="335">
        <f t="shared" ref="D195:E195" si="99">SUM(D187:D194)</f>
        <v>122.56060142035237</v>
      </c>
      <c r="E195" s="337">
        <f t="shared" si="99"/>
        <v>110.34248439652636</v>
      </c>
    </row>
    <row r="196" spans="1:5" x14ac:dyDescent="0.2">
      <c r="A196" s="2"/>
      <c r="E196" s="339"/>
    </row>
    <row r="197" spans="1:5" x14ac:dyDescent="0.2">
      <c r="A197" s="2"/>
      <c r="E197" s="339"/>
    </row>
    <row r="198" spans="1:5" x14ac:dyDescent="0.2">
      <c r="A198" s="2"/>
      <c r="E198" s="339"/>
    </row>
    <row r="199" spans="1:5" x14ac:dyDescent="0.2">
      <c r="A199" s="2"/>
      <c r="E199" s="339"/>
    </row>
    <row r="200" spans="1:5" x14ac:dyDescent="0.2">
      <c r="A200" s="2"/>
      <c r="E200" s="339"/>
    </row>
    <row r="201" spans="1:5" x14ac:dyDescent="0.2">
      <c r="A201" s="2"/>
      <c r="E201" s="339"/>
    </row>
    <row r="202" spans="1:5" x14ac:dyDescent="0.2">
      <c r="A202" s="2"/>
      <c r="E202" s="339"/>
    </row>
    <row r="203" spans="1:5" x14ac:dyDescent="0.2">
      <c r="A203" s="2"/>
      <c r="E203" s="339"/>
    </row>
    <row r="204" spans="1:5" x14ac:dyDescent="0.2">
      <c r="A204" s="2"/>
      <c r="E204" s="339"/>
    </row>
    <row r="205" spans="1:5" x14ac:dyDescent="0.2">
      <c r="A205" s="2"/>
      <c r="E205" s="339"/>
    </row>
    <row r="206" spans="1:5" x14ac:dyDescent="0.2">
      <c r="A206" s="2"/>
      <c r="E206" s="339"/>
    </row>
    <row r="207" spans="1:5" x14ac:dyDescent="0.2">
      <c r="A207" s="2"/>
      <c r="E207" s="339"/>
    </row>
    <row r="208" spans="1:5" x14ac:dyDescent="0.2">
      <c r="A208" s="2"/>
      <c r="E208" s="339"/>
    </row>
    <row r="209" spans="1:5" x14ac:dyDescent="0.2">
      <c r="A209" s="2"/>
      <c r="E209" s="339"/>
    </row>
    <row r="210" spans="1:5" x14ac:dyDescent="0.2">
      <c r="A210" s="2"/>
      <c r="E210" s="339"/>
    </row>
    <row r="211" spans="1:5" x14ac:dyDescent="0.2">
      <c r="A211" s="2"/>
      <c r="E211" s="339"/>
    </row>
    <row r="212" spans="1:5" x14ac:dyDescent="0.2">
      <c r="A212" s="2"/>
      <c r="E212" s="339"/>
    </row>
    <row r="213" spans="1:5" x14ac:dyDescent="0.2">
      <c r="A213" s="2"/>
      <c r="E213" s="339"/>
    </row>
    <row r="214" spans="1:5" x14ac:dyDescent="0.2">
      <c r="A214" s="2"/>
      <c r="E214" s="339"/>
    </row>
    <row r="215" spans="1:5" x14ac:dyDescent="0.2">
      <c r="A215" s="2"/>
      <c r="E215" s="339"/>
    </row>
    <row r="216" spans="1:5" x14ac:dyDescent="0.2">
      <c r="A216" s="2"/>
      <c r="E216" s="339"/>
    </row>
    <row r="217" spans="1:5" x14ac:dyDescent="0.2">
      <c r="A217" s="2"/>
      <c r="E217" s="339"/>
    </row>
    <row r="218" spans="1:5" x14ac:dyDescent="0.2">
      <c r="A218" s="2"/>
      <c r="E218" s="339"/>
    </row>
    <row r="219" spans="1:5" x14ac:dyDescent="0.2">
      <c r="A219" s="2"/>
      <c r="E219" s="339"/>
    </row>
    <row r="220" spans="1:5" x14ac:dyDescent="0.2">
      <c r="A220" s="2"/>
      <c r="E220" s="339"/>
    </row>
    <row r="221" spans="1:5" x14ac:dyDescent="0.2">
      <c r="A221" s="2"/>
      <c r="E221" s="339"/>
    </row>
    <row r="222" spans="1:5" x14ac:dyDescent="0.2">
      <c r="A222" s="2"/>
      <c r="E222" s="339"/>
    </row>
    <row r="223" spans="1:5" x14ac:dyDescent="0.2">
      <c r="A223" s="2"/>
      <c r="E223" s="339"/>
    </row>
    <row r="224" spans="1:5" x14ac:dyDescent="0.2">
      <c r="A224" s="2"/>
      <c r="E224" s="339"/>
    </row>
    <row r="225" spans="1:5" x14ac:dyDescent="0.2">
      <c r="A225" s="2"/>
      <c r="E225" s="339"/>
    </row>
    <row r="226" spans="1:5" x14ac:dyDescent="0.2">
      <c r="A226" s="2"/>
      <c r="E226" s="339"/>
    </row>
    <row r="227" spans="1:5" x14ac:dyDescent="0.2">
      <c r="A227" s="2"/>
      <c r="E227" s="339"/>
    </row>
    <row r="228" spans="1:5" x14ac:dyDescent="0.2">
      <c r="A228" s="2"/>
      <c r="E228" s="339"/>
    </row>
    <row r="229" spans="1:5" x14ac:dyDescent="0.2">
      <c r="A229" s="2"/>
      <c r="E229" s="339"/>
    </row>
    <row r="230" spans="1:5" x14ac:dyDescent="0.2">
      <c r="A230" s="2"/>
      <c r="E230" s="339"/>
    </row>
    <row r="231" spans="1:5" x14ac:dyDescent="0.2">
      <c r="A231" s="2"/>
      <c r="E231" s="339"/>
    </row>
    <row r="232" spans="1:5" x14ac:dyDescent="0.2">
      <c r="A232" s="2"/>
      <c r="E232" s="339"/>
    </row>
    <row r="233" spans="1:5" x14ac:dyDescent="0.2">
      <c r="A233" s="2"/>
      <c r="E233" s="339"/>
    </row>
    <row r="234" spans="1:5" x14ac:dyDescent="0.2">
      <c r="A234" s="2"/>
      <c r="E234" s="339"/>
    </row>
    <row r="235" spans="1:5" x14ac:dyDescent="0.2">
      <c r="A235" s="2"/>
      <c r="E235" s="339"/>
    </row>
    <row r="236" spans="1:5" x14ac:dyDescent="0.2">
      <c r="A236" s="2"/>
      <c r="E236" s="339"/>
    </row>
    <row r="237" spans="1:5" x14ac:dyDescent="0.2">
      <c r="A237" s="2"/>
      <c r="E237" s="339"/>
    </row>
    <row r="238" spans="1:5" x14ac:dyDescent="0.2">
      <c r="A238" s="2"/>
      <c r="E238" s="339"/>
    </row>
    <row r="239" spans="1:5" x14ac:dyDescent="0.2">
      <c r="A239" s="2"/>
      <c r="E239" s="339"/>
    </row>
    <row r="240" spans="1:5" x14ac:dyDescent="0.2">
      <c r="A240" s="2"/>
      <c r="E240" s="339"/>
    </row>
    <row r="241" spans="1:5" x14ac:dyDescent="0.2">
      <c r="A241" s="2"/>
      <c r="E241" s="339"/>
    </row>
    <row r="242" spans="1:5" x14ac:dyDescent="0.2">
      <c r="A242" s="2"/>
      <c r="E242" s="339"/>
    </row>
    <row r="243" spans="1:5" x14ac:dyDescent="0.2">
      <c r="A243" s="2"/>
      <c r="E243" s="339"/>
    </row>
    <row r="244" spans="1:5" x14ac:dyDescent="0.2">
      <c r="A244" s="2"/>
      <c r="E244" s="339"/>
    </row>
    <row r="245" spans="1:5" x14ac:dyDescent="0.2">
      <c r="A245" s="2"/>
      <c r="E245" s="339"/>
    </row>
    <row r="246" spans="1:5" x14ac:dyDescent="0.2">
      <c r="A246" s="2"/>
      <c r="E246" s="339"/>
    </row>
    <row r="247" spans="1:5" x14ac:dyDescent="0.2">
      <c r="A247" s="2"/>
      <c r="E247" s="339"/>
    </row>
    <row r="248" spans="1:5" x14ac:dyDescent="0.2">
      <c r="A248" s="2"/>
      <c r="E248" s="339"/>
    </row>
    <row r="249" spans="1:5" x14ac:dyDescent="0.2">
      <c r="A249" s="2"/>
      <c r="E249" s="339"/>
    </row>
    <row r="250" spans="1:5" x14ac:dyDescent="0.2">
      <c r="A250" s="2"/>
      <c r="E250" s="339"/>
    </row>
    <row r="251" spans="1:5" x14ac:dyDescent="0.2">
      <c r="A251" s="2"/>
      <c r="E251" s="339"/>
    </row>
    <row r="252" spans="1:5" x14ac:dyDescent="0.2">
      <c r="A252" s="2"/>
      <c r="E252" s="339"/>
    </row>
    <row r="253" spans="1:5" x14ac:dyDescent="0.2">
      <c r="A253" s="2"/>
      <c r="E253" s="339"/>
    </row>
    <row r="254" spans="1:5" x14ac:dyDescent="0.2">
      <c r="A254" s="2"/>
      <c r="E254" s="339"/>
    </row>
    <row r="255" spans="1:5" x14ac:dyDescent="0.2">
      <c r="A255" s="2"/>
      <c r="E255" s="339"/>
    </row>
    <row r="256" spans="1:5" x14ac:dyDescent="0.2">
      <c r="A256" s="2"/>
      <c r="E256" s="339"/>
    </row>
    <row r="257" spans="1:5" x14ac:dyDescent="0.2">
      <c r="A257" s="2"/>
      <c r="E257" s="339"/>
    </row>
    <row r="258" spans="1:5" x14ac:dyDescent="0.2">
      <c r="A258" s="2"/>
      <c r="E258" s="339"/>
    </row>
    <row r="259" spans="1:5" x14ac:dyDescent="0.2">
      <c r="A259" s="2"/>
      <c r="E259" s="339"/>
    </row>
    <row r="260" spans="1:5" x14ac:dyDescent="0.2">
      <c r="A260" s="2"/>
      <c r="E260" s="339"/>
    </row>
    <row r="261" spans="1:5" x14ac:dyDescent="0.2">
      <c r="A261" s="2"/>
      <c r="E261" s="339"/>
    </row>
    <row r="262" spans="1:5" x14ac:dyDescent="0.2">
      <c r="A262" s="2"/>
      <c r="E262" s="339"/>
    </row>
    <row r="263" spans="1:5" x14ac:dyDescent="0.2">
      <c r="A263" s="2"/>
      <c r="E263" s="339"/>
    </row>
    <row r="264" spans="1:5" x14ac:dyDescent="0.2">
      <c r="A264" s="2"/>
      <c r="E264" s="339"/>
    </row>
    <row r="265" spans="1:5" x14ac:dyDescent="0.2">
      <c r="A265" s="2"/>
      <c r="E265" s="339"/>
    </row>
    <row r="266" spans="1:5" x14ac:dyDescent="0.2">
      <c r="A266" s="2"/>
      <c r="E266" s="339"/>
    </row>
    <row r="267" spans="1:5" x14ac:dyDescent="0.2">
      <c r="A267" s="2"/>
      <c r="E267" s="339"/>
    </row>
    <row r="268" spans="1:5" x14ac:dyDescent="0.2">
      <c r="A268" s="2"/>
      <c r="E268" s="339"/>
    </row>
    <row r="269" spans="1:5" x14ac:dyDescent="0.2">
      <c r="A269" s="2"/>
      <c r="E269" s="339"/>
    </row>
    <row r="270" spans="1:5" x14ac:dyDescent="0.2">
      <c r="A270" s="2"/>
      <c r="E270" s="339"/>
    </row>
    <row r="271" spans="1:5" x14ac:dyDescent="0.2">
      <c r="A271" s="2"/>
      <c r="E271" s="339"/>
    </row>
    <row r="272" spans="1:5" x14ac:dyDescent="0.2">
      <c r="A272" s="2"/>
      <c r="E272" s="339"/>
    </row>
    <row r="273" spans="1:5" x14ac:dyDescent="0.2">
      <c r="A273" s="2"/>
      <c r="E273" s="339"/>
    </row>
    <row r="274" spans="1:5" x14ac:dyDescent="0.2">
      <c r="A274" s="2"/>
      <c r="E274" s="339"/>
    </row>
    <row r="275" spans="1:5" x14ac:dyDescent="0.2">
      <c r="A275" s="2"/>
      <c r="E275" s="339"/>
    </row>
    <row r="276" spans="1:5" x14ac:dyDescent="0.2">
      <c r="A276" s="2"/>
      <c r="E276" s="339"/>
    </row>
    <row r="277" spans="1:5" x14ac:dyDescent="0.2">
      <c r="A277" s="2"/>
      <c r="E277" s="339"/>
    </row>
    <row r="278" spans="1:5" x14ac:dyDescent="0.2">
      <c r="A278" s="2"/>
      <c r="E278" s="339"/>
    </row>
    <row r="279" spans="1:5" x14ac:dyDescent="0.2">
      <c r="A279" s="2"/>
      <c r="E279" s="339"/>
    </row>
    <row r="280" spans="1:5" x14ac:dyDescent="0.2">
      <c r="A280" s="2"/>
      <c r="E280" s="339"/>
    </row>
    <row r="281" spans="1:5" x14ac:dyDescent="0.2">
      <c r="A281" s="2"/>
      <c r="E281" s="339"/>
    </row>
    <row r="282" spans="1:5" x14ac:dyDescent="0.2">
      <c r="A282" s="2"/>
      <c r="E282" s="339"/>
    </row>
    <row r="283" spans="1:5" x14ac:dyDescent="0.2">
      <c r="A283" s="2"/>
      <c r="E283" s="339"/>
    </row>
    <row r="284" spans="1:5" x14ac:dyDescent="0.2">
      <c r="A284" s="2"/>
      <c r="E284" s="339"/>
    </row>
    <row r="285" spans="1:5" x14ac:dyDescent="0.2">
      <c r="A285" s="2"/>
      <c r="E285" s="339"/>
    </row>
    <row r="286" spans="1:5" x14ac:dyDescent="0.2">
      <c r="A286" s="2"/>
      <c r="E286" s="339"/>
    </row>
    <row r="287" spans="1:5" x14ac:dyDescent="0.2">
      <c r="A287" s="2"/>
      <c r="E287" s="339"/>
    </row>
    <row r="288" spans="1:5" x14ac:dyDescent="0.2">
      <c r="A288" s="2"/>
      <c r="E288" s="339"/>
    </row>
    <row r="289" spans="1:5" x14ac:dyDescent="0.2">
      <c r="A289" s="2"/>
      <c r="E289" s="339"/>
    </row>
    <row r="290" spans="1:5" x14ac:dyDescent="0.2">
      <c r="A290" s="2"/>
      <c r="E290" s="339"/>
    </row>
    <row r="291" spans="1:5" x14ac:dyDescent="0.2">
      <c r="A291" s="2"/>
      <c r="E291" s="339"/>
    </row>
    <row r="292" spans="1:5" x14ac:dyDescent="0.2">
      <c r="A292" s="2"/>
      <c r="E292" s="339"/>
    </row>
    <row r="293" spans="1:5" x14ac:dyDescent="0.2">
      <c r="A293" s="2"/>
      <c r="E293" s="339"/>
    </row>
    <row r="294" spans="1:5" x14ac:dyDescent="0.2">
      <c r="A294" s="2"/>
      <c r="E294" s="339"/>
    </row>
    <row r="295" spans="1:5" x14ac:dyDescent="0.2">
      <c r="A295" s="2"/>
      <c r="E295" s="339"/>
    </row>
    <row r="296" spans="1:5" x14ac:dyDescent="0.2">
      <c r="A296" s="2"/>
      <c r="E296" s="339"/>
    </row>
    <row r="297" spans="1:5" x14ac:dyDescent="0.2">
      <c r="A297" s="2"/>
      <c r="E297" s="339"/>
    </row>
    <row r="298" spans="1:5" x14ac:dyDescent="0.2">
      <c r="A298" s="2"/>
      <c r="E298" s="339"/>
    </row>
    <row r="299" spans="1:5" x14ac:dyDescent="0.2">
      <c r="A299" s="2"/>
      <c r="E299" s="339"/>
    </row>
    <row r="300" spans="1:5" x14ac:dyDescent="0.2">
      <c r="A300" s="2"/>
      <c r="E300" s="339"/>
    </row>
    <row r="301" spans="1:5" x14ac:dyDescent="0.2">
      <c r="A301" s="2"/>
      <c r="E301" s="339"/>
    </row>
    <row r="302" spans="1:5" x14ac:dyDescent="0.2">
      <c r="A302" s="2"/>
      <c r="E302" s="339"/>
    </row>
    <row r="303" spans="1:5" x14ac:dyDescent="0.2">
      <c r="A303" s="2"/>
      <c r="E303" s="339"/>
    </row>
    <row r="304" spans="1:5" x14ac:dyDescent="0.2">
      <c r="A304" s="2"/>
      <c r="E304" s="339"/>
    </row>
    <row r="305" spans="1:5" x14ac:dyDescent="0.2">
      <c r="A305" s="2"/>
      <c r="E305" s="339"/>
    </row>
    <row r="306" spans="1:5" x14ac:dyDescent="0.2">
      <c r="A306" s="2"/>
      <c r="E306" s="339"/>
    </row>
    <row r="307" spans="1:5" x14ac:dyDescent="0.2">
      <c r="A307" s="2"/>
      <c r="E307" s="339"/>
    </row>
    <row r="308" spans="1:5" x14ac:dyDescent="0.2">
      <c r="A308" s="2"/>
      <c r="E308" s="339"/>
    </row>
    <row r="309" spans="1:5" x14ac:dyDescent="0.2">
      <c r="A309" s="2"/>
      <c r="E309" s="339"/>
    </row>
    <row r="310" spans="1:5" x14ac:dyDescent="0.2">
      <c r="A310" s="2"/>
      <c r="E310" s="339"/>
    </row>
    <row r="311" spans="1:5" x14ac:dyDescent="0.2">
      <c r="A311" s="2"/>
      <c r="E311" s="339"/>
    </row>
    <row r="312" spans="1:5" x14ac:dyDescent="0.2">
      <c r="A312" s="2"/>
      <c r="E312" s="339"/>
    </row>
    <row r="313" spans="1:5" x14ac:dyDescent="0.2">
      <c r="A313" s="2"/>
      <c r="E313" s="339"/>
    </row>
    <row r="314" spans="1:5" x14ac:dyDescent="0.2">
      <c r="A314" s="2"/>
      <c r="E314" s="339"/>
    </row>
    <row r="315" spans="1:5" x14ac:dyDescent="0.2">
      <c r="A315" s="2"/>
      <c r="E315" s="339"/>
    </row>
    <row r="316" spans="1:5" x14ac:dyDescent="0.2">
      <c r="A316" s="2"/>
      <c r="E316" s="339"/>
    </row>
    <row r="317" spans="1:5" x14ac:dyDescent="0.2">
      <c r="A317" s="2"/>
      <c r="E317" s="339"/>
    </row>
    <row r="318" spans="1:5" x14ac:dyDescent="0.2">
      <c r="A318" s="2"/>
      <c r="E318" s="339"/>
    </row>
    <row r="319" spans="1:5" x14ac:dyDescent="0.2">
      <c r="A319" s="2"/>
      <c r="E319" s="339"/>
    </row>
    <row r="320" spans="1:5" x14ac:dyDescent="0.2">
      <c r="A320" s="2"/>
      <c r="E320" s="339"/>
    </row>
    <row r="321" spans="1:5" x14ac:dyDescent="0.2">
      <c r="A321" s="2"/>
      <c r="E321" s="339"/>
    </row>
    <row r="322" spans="1:5" x14ac:dyDescent="0.2">
      <c r="A322" s="2"/>
      <c r="E322" s="339"/>
    </row>
    <row r="323" spans="1:5" x14ac:dyDescent="0.2">
      <c r="A323" s="2"/>
      <c r="E323" s="339"/>
    </row>
    <row r="324" spans="1:5" x14ac:dyDescent="0.2">
      <c r="A324" s="2"/>
      <c r="E324" s="339"/>
    </row>
    <row r="325" spans="1:5" x14ac:dyDescent="0.2">
      <c r="A325" s="2"/>
      <c r="E325" s="339"/>
    </row>
    <row r="326" spans="1:5" x14ac:dyDescent="0.2">
      <c r="A326" s="2"/>
      <c r="E326" s="339"/>
    </row>
    <row r="327" spans="1:5" x14ac:dyDescent="0.2">
      <c r="A327" s="2"/>
      <c r="E327" s="339"/>
    </row>
    <row r="328" spans="1:5" x14ac:dyDescent="0.2">
      <c r="A328" s="2"/>
      <c r="E328" s="339"/>
    </row>
    <row r="329" spans="1:5" x14ac:dyDescent="0.2">
      <c r="A329" s="2"/>
      <c r="E329" s="339"/>
    </row>
    <row r="330" spans="1:5" x14ac:dyDescent="0.2">
      <c r="A330" s="2"/>
      <c r="E330" s="339"/>
    </row>
    <row r="331" spans="1:5" x14ac:dyDescent="0.2">
      <c r="A331" s="2"/>
      <c r="E331" s="339"/>
    </row>
    <row r="332" spans="1:5" x14ac:dyDescent="0.2">
      <c r="A332" s="2"/>
      <c r="E332" s="339"/>
    </row>
    <row r="333" spans="1:5" x14ac:dyDescent="0.2">
      <c r="A333" s="2"/>
      <c r="E333" s="339"/>
    </row>
    <row r="334" spans="1:5" x14ac:dyDescent="0.2">
      <c r="A334" s="2"/>
      <c r="E334" s="339"/>
    </row>
    <row r="335" spans="1:5" x14ac:dyDescent="0.2">
      <c r="A335" s="2"/>
      <c r="E335" s="339"/>
    </row>
    <row r="336" spans="1:5" x14ac:dyDescent="0.2">
      <c r="A336" s="2"/>
      <c r="E336" s="339"/>
    </row>
    <row r="337" spans="1:5" x14ac:dyDescent="0.2">
      <c r="A337" s="2"/>
      <c r="E337" s="339"/>
    </row>
    <row r="338" spans="1:5" x14ac:dyDescent="0.2">
      <c r="A338" s="2"/>
      <c r="E338" s="339"/>
    </row>
    <row r="339" spans="1:5" x14ac:dyDescent="0.2">
      <c r="A339" s="2"/>
      <c r="E339" s="339"/>
    </row>
    <row r="340" spans="1:5" x14ac:dyDescent="0.2">
      <c r="A340" s="2"/>
      <c r="E340" s="339"/>
    </row>
    <row r="341" spans="1:5" x14ac:dyDescent="0.2">
      <c r="A341" s="2"/>
      <c r="E341" s="339"/>
    </row>
    <row r="342" spans="1:5" x14ac:dyDescent="0.2">
      <c r="A342" s="2"/>
      <c r="E342" s="339"/>
    </row>
    <row r="343" spans="1:5" x14ac:dyDescent="0.2">
      <c r="A343" s="2"/>
      <c r="E343" s="339"/>
    </row>
    <row r="344" spans="1:5" x14ac:dyDescent="0.2">
      <c r="A344" s="2"/>
      <c r="E344" s="339"/>
    </row>
    <row r="345" spans="1:5" x14ac:dyDescent="0.2">
      <c r="A345" s="2"/>
      <c r="E345" s="339"/>
    </row>
    <row r="346" spans="1:5" x14ac:dyDescent="0.2">
      <c r="A346" s="2"/>
      <c r="E346" s="339"/>
    </row>
    <row r="347" spans="1:5" x14ac:dyDescent="0.2">
      <c r="A347" s="2"/>
      <c r="E347" s="339"/>
    </row>
    <row r="348" spans="1:5" x14ac:dyDescent="0.2">
      <c r="A348" s="2"/>
      <c r="E348" s="339"/>
    </row>
    <row r="349" spans="1:5" x14ac:dyDescent="0.2">
      <c r="A349" s="2"/>
      <c r="E349" s="339"/>
    </row>
    <row r="350" spans="1:5" x14ac:dyDescent="0.2">
      <c r="A350" s="2"/>
      <c r="E350" s="339"/>
    </row>
    <row r="351" spans="1:5" x14ac:dyDescent="0.2">
      <c r="A351" s="2"/>
      <c r="E351" s="339"/>
    </row>
    <row r="352" spans="1:5" x14ac:dyDescent="0.2">
      <c r="A352" s="2"/>
      <c r="E352" s="339"/>
    </row>
    <row r="353" spans="1:5" x14ac:dyDescent="0.2">
      <c r="A353" s="2"/>
      <c r="E353" s="339"/>
    </row>
    <row r="354" spans="1:5" x14ac:dyDescent="0.2">
      <c r="A354" s="2"/>
      <c r="E354" s="339"/>
    </row>
    <row r="355" spans="1:5" x14ac:dyDescent="0.2">
      <c r="A355" s="2"/>
      <c r="E355" s="339"/>
    </row>
    <row r="356" spans="1:5" x14ac:dyDescent="0.2">
      <c r="A356" s="2"/>
      <c r="E356" s="339"/>
    </row>
    <row r="357" spans="1:5" x14ac:dyDescent="0.2">
      <c r="A357" s="2"/>
      <c r="E357" s="339"/>
    </row>
    <row r="358" spans="1:5" x14ac:dyDescent="0.2">
      <c r="A358" s="2"/>
      <c r="E358" s="339"/>
    </row>
    <row r="359" spans="1:5" x14ac:dyDescent="0.2">
      <c r="A359" s="2"/>
      <c r="E359" s="339"/>
    </row>
    <row r="360" spans="1:5" x14ac:dyDescent="0.2">
      <c r="A360" s="2"/>
      <c r="E360" s="339"/>
    </row>
    <row r="361" spans="1:5" x14ac:dyDescent="0.2">
      <c r="A361" s="2"/>
      <c r="E361" s="339"/>
    </row>
    <row r="362" spans="1:5" x14ac:dyDescent="0.2">
      <c r="A362" s="2"/>
      <c r="E362" s="339"/>
    </row>
    <row r="363" spans="1:5" x14ac:dyDescent="0.2">
      <c r="A363" s="2"/>
      <c r="E363" s="339"/>
    </row>
    <row r="364" spans="1:5" x14ac:dyDescent="0.2">
      <c r="A364" s="2"/>
      <c r="E364" s="339"/>
    </row>
    <row r="365" spans="1:5" x14ac:dyDescent="0.2">
      <c r="A365" s="2"/>
      <c r="E365" s="339"/>
    </row>
    <row r="366" spans="1:5" x14ac:dyDescent="0.2">
      <c r="A366" s="2"/>
      <c r="E366" s="339"/>
    </row>
    <row r="367" spans="1:5" x14ac:dyDescent="0.2">
      <c r="A367" s="2"/>
      <c r="E367" s="339"/>
    </row>
    <row r="368" spans="1:5" x14ac:dyDescent="0.2">
      <c r="A368" s="2"/>
      <c r="E368" s="339"/>
    </row>
    <row r="369" spans="1:5" x14ac:dyDescent="0.2">
      <c r="A369" s="2"/>
      <c r="E369" s="339"/>
    </row>
    <row r="370" spans="1:5" x14ac:dyDescent="0.2">
      <c r="A370" s="2"/>
      <c r="E370" s="339"/>
    </row>
    <row r="371" spans="1:5" x14ac:dyDescent="0.2">
      <c r="A371" s="2"/>
      <c r="E371" s="339"/>
    </row>
    <row r="372" spans="1:5" x14ac:dyDescent="0.2">
      <c r="A372" s="2"/>
      <c r="E372" s="339"/>
    </row>
    <row r="373" spans="1:5" x14ac:dyDescent="0.2">
      <c r="A373" s="2"/>
      <c r="E373" s="339"/>
    </row>
    <row r="374" spans="1:5" x14ac:dyDescent="0.2">
      <c r="A374" s="2"/>
      <c r="E374" s="339"/>
    </row>
    <row r="375" spans="1:5" x14ac:dyDescent="0.2">
      <c r="A375" s="2"/>
      <c r="E375" s="339"/>
    </row>
    <row r="376" spans="1:5" x14ac:dyDescent="0.2">
      <c r="A376" s="2"/>
      <c r="E376" s="339"/>
    </row>
    <row r="377" spans="1:5" x14ac:dyDescent="0.2">
      <c r="A377" s="2"/>
      <c r="E377" s="339"/>
    </row>
    <row r="378" spans="1:5" x14ac:dyDescent="0.2">
      <c r="A378" s="2"/>
      <c r="E378" s="339"/>
    </row>
    <row r="379" spans="1:5" x14ac:dyDescent="0.2">
      <c r="A379" s="2"/>
      <c r="E379" s="339"/>
    </row>
    <row r="380" spans="1:5" x14ac:dyDescent="0.2">
      <c r="A380" s="2"/>
      <c r="E380" s="339"/>
    </row>
    <row r="381" spans="1:5" x14ac:dyDescent="0.2">
      <c r="A381" s="2"/>
      <c r="E381" s="339"/>
    </row>
    <row r="382" spans="1:5" x14ac:dyDescent="0.2">
      <c r="A382" s="2"/>
      <c r="E382" s="339"/>
    </row>
    <row r="383" spans="1:5" x14ac:dyDescent="0.2">
      <c r="A383" s="2"/>
      <c r="E383" s="339"/>
    </row>
    <row r="384" spans="1:5" x14ac:dyDescent="0.2">
      <c r="A384" s="2"/>
      <c r="E384" s="339"/>
    </row>
    <row r="385" spans="1:5" x14ac:dyDescent="0.2">
      <c r="A385" s="2"/>
      <c r="E385" s="339"/>
    </row>
    <row r="386" spans="1:5" x14ac:dyDescent="0.2">
      <c r="A386" s="2"/>
      <c r="E386" s="339"/>
    </row>
    <row r="387" spans="1:5" x14ac:dyDescent="0.2">
      <c r="A387" s="2"/>
      <c r="E387" s="339"/>
    </row>
    <row r="388" spans="1:5" x14ac:dyDescent="0.2">
      <c r="A388" s="2"/>
      <c r="E388" s="339"/>
    </row>
    <row r="389" spans="1:5" x14ac:dyDescent="0.2">
      <c r="A389" s="2"/>
      <c r="E389" s="339"/>
    </row>
    <row r="390" spans="1:5" x14ac:dyDescent="0.2">
      <c r="A390" s="2"/>
      <c r="E390" s="339"/>
    </row>
    <row r="391" spans="1:5" x14ac:dyDescent="0.2">
      <c r="A391" s="2"/>
      <c r="E391" s="339"/>
    </row>
    <row r="392" spans="1:5" x14ac:dyDescent="0.2">
      <c r="A392" s="2"/>
      <c r="E392" s="339"/>
    </row>
    <row r="393" spans="1:5" x14ac:dyDescent="0.2">
      <c r="A393" s="2"/>
      <c r="E393" s="339"/>
    </row>
    <row r="394" spans="1:5" x14ac:dyDescent="0.2">
      <c r="A394" s="2"/>
      <c r="E394" s="339"/>
    </row>
    <row r="395" spans="1:5" x14ac:dyDescent="0.2">
      <c r="A395" s="2"/>
    </row>
  </sheetData>
  <mergeCells count="7">
    <mergeCell ref="B170:C170"/>
    <mergeCell ref="B182:C182"/>
    <mergeCell ref="D2:E2"/>
    <mergeCell ref="D8:E8"/>
    <mergeCell ref="B9:C9"/>
    <mergeCell ref="B10:C10"/>
    <mergeCell ref="B168:C168"/>
  </mergeCells>
  <pageMargins left="0.7" right="0.7" top="0.75" bottom="0.75" header="0" footer="0"/>
  <pageSetup orientation="landscape" r:id="rId1"/>
  <ignoredErrors>
    <ignoredError sqref="D17:D175" formula="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6.83203125" defaultRowHeight="15" customHeight="1" x14ac:dyDescent="0.2"/>
  <cols>
    <col min="1" max="1" width="8" customWidth="1"/>
    <col min="2" max="2" width="16.1640625" customWidth="1"/>
    <col min="3" max="3" width="37.1640625" customWidth="1"/>
    <col min="4" max="4" width="32.5" customWidth="1"/>
    <col min="5" max="5" width="17.6640625" customWidth="1"/>
    <col min="6" max="6" width="20.5" customWidth="1"/>
    <col min="7" max="7" width="19.1640625" customWidth="1"/>
    <col min="8" max="8" width="19.33203125" customWidth="1"/>
    <col min="9" max="9" width="19.83203125" customWidth="1"/>
    <col min="10" max="10" width="22.33203125" customWidth="1"/>
    <col min="11" max="11" width="26.6640625" customWidth="1"/>
    <col min="12" max="26" width="8" customWidth="1"/>
  </cols>
  <sheetData>
    <row r="1" spans="1:26" ht="33" customHeight="1" x14ac:dyDescent="0.45">
      <c r="A1" s="11" t="s">
        <v>6</v>
      </c>
      <c r="B1" s="13"/>
      <c r="C1" s="2"/>
      <c r="D1" s="2"/>
      <c r="E1" s="2"/>
      <c r="F1" s="16"/>
      <c r="G1" s="2"/>
      <c r="H1" s="2"/>
      <c r="I1" s="2"/>
      <c r="J1" s="2"/>
      <c r="K1" s="2"/>
      <c r="L1" s="2"/>
      <c r="M1" s="2"/>
      <c r="N1" s="2"/>
      <c r="O1" s="2"/>
      <c r="P1" s="2"/>
      <c r="Q1" s="2"/>
      <c r="R1" s="2"/>
      <c r="S1" s="2"/>
      <c r="T1" s="2"/>
      <c r="U1" s="2"/>
      <c r="V1" s="2"/>
      <c r="W1" s="2"/>
      <c r="X1" s="2"/>
      <c r="Y1" s="2"/>
      <c r="Z1" s="2"/>
    </row>
    <row r="2" spans="1:26" ht="140.25" customHeight="1" x14ac:dyDescent="0.2"/>
    <row r="3" spans="1:26" ht="21" customHeight="1" x14ac:dyDescent="0.35">
      <c r="B3" s="18" t="s">
        <v>16</v>
      </c>
    </row>
    <row r="4" spans="1:26" ht="13.5" customHeight="1" x14ac:dyDescent="0.2">
      <c r="G4" s="21" t="s">
        <v>18</v>
      </c>
      <c r="L4" s="24"/>
    </row>
    <row r="5" spans="1:26" ht="14.25" customHeight="1" x14ac:dyDescent="0.2">
      <c r="B5" s="26"/>
      <c r="C5" s="28"/>
      <c r="D5" s="26"/>
      <c r="E5" s="31"/>
      <c r="F5" s="31"/>
      <c r="G5" s="34"/>
      <c r="H5" s="34"/>
      <c r="I5" s="31"/>
      <c r="J5" s="31"/>
      <c r="K5" s="28"/>
      <c r="L5" s="24"/>
    </row>
    <row r="6" spans="1:26" ht="12.75" customHeight="1" x14ac:dyDescent="0.2">
      <c r="B6" s="40"/>
      <c r="C6" s="42"/>
      <c r="D6" s="42"/>
      <c r="E6" s="42"/>
      <c r="F6" s="42"/>
      <c r="G6" s="45"/>
      <c r="H6" s="45"/>
      <c r="I6" s="42"/>
      <c r="J6" s="42"/>
      <c r="K6" s="46"/>
      <c r="L6" s="24"/>
    </row>
    <row r="7" spans="1:26" ht="14.25" customHeight="1" x14ac:dyDescent="0.25">
      <c r="B7" s="49" t="s">
        <v>30</v>
      </c>
      <c r="C7" s="24" t="s">
        <v>17</v>
      </c>
      <c r="D7" s="24" t="s">
        <v>19</v>
      </c>
      <c r="E7" s="24" t="s">
        <v>20</v>
      </c>
      <c r="F7" s="53" t="s">
        <v>21</v>
      </c>
      <c r="G7" s="24" t="s">
        <v>23</v>
      </c>
      <c r="H7" s="24" t="s">
        <v>36</v>
      </c>
      <c r="I7" s="55" t="s">
        <v>38</v>
      </c>
      <c r="J7" s="57" t="s">
        <v>38</v>
      </c>
      <c r="K7" s="60" t="s">
        <v>39</v>
      </c>
      <c r="L7" s="62"/>
    </row>
    <row r="8" spans="1:26" ht="12.75" customHeight="1" x14ac:dyDescent="0.2">
      <c r="B8" s="49"/>
      <c r="C8" s="24"/>
      <c r="D8" s="24"/>
      <c r="E8" s="24"/>
      <c r="F8" s="53" t="s">
        <v>41</v>
      </c>
      <c r="G8" s="24"/>
      <c r="H8" s="24" t="s">
        <v>42</v>
      </c>
      <c r="I8" s="53" t="s">
        <v>43</v>
      </c>
      <c r="J8" s="65" t="s">
        <v>43</v>
      </c>
      <c r="K8" s="67" t="s">
        <v>41</v>
      </c>
      <c r="L8" s="68"/>
    </row>
    <row r="9" spans="1:26" ht="13.5" customHeight="1" x14ac:dyDescent="0.2">
      <c r="B9" s="72"/>
      <c r="C9" s="74"/>
      <c r="D9" s="74"/>
      <c r="E9" s="74"/>
      <c r="F9" s="74"/>
      <c r="G9" s="74"/>
      <c r="H9" s="74"/>
      <c r="I9" s="77" t="s">
        <v>50</v>
      </c>
      <c r="J9" s="79" t="s">
        <v>51</v>
      </c>
      <c r="K9" s="81" t="s">
        <v>51</v>
      </c>
      <c r="L9" s="24"/>
    </row>
    <row r="10" spans="1:26" ht="12.75" customHeight="1" x14ac:dyDescent="0.2">
      <c r="B10" s="49"/>
      <c r="C10" s="24"/>
      <c r="D10" s="24"/>
      <c r="E10" s="24"/>
      <c r="F10" s="24"/>
      <c r="G10" s="24"/>
      <c r="H10" s="24"/>
      <c r="I10" s="53"/>
      <c r="J10" s="65"/>
      <c r="K10" s="83"/>
      <c r="L10" s="24"/>
    </row>
    <row r="11" spans="1:26" ht="12.75" customHeight="1" x14ac:dyDescent="0.2">
      <c r="B11" s="49" t="s">
        <v>55</v>
      </c>
      <c r="C11" s="62" t="s">
        <v>56</v>
      </c>
      <c r="D11" s="24"/>
      <c r="E11" s="24"/>
      <c r="F11" s="84"/>
      <c r="G11" s="24"/>
      <c r="H11" s="24"/>
      <c r="I11" s="24"/>
      <c r="J11" s="24"/>
      <c r="K11" s="86"/>
      <c r="L11" s="24"/>
    </row>
    <row r="12" spans="1:26" ht="12.75" customHeight="1" x14ac:dyDescent="0.2">
      <c r="B12" s="49"/>
      <c r="C12" s="24" t="s">
        <v>59</v>
      </c>
      <c r="D12" s="90" t="s">
        <v>60</v>
      </c>
      <c r="E12" s="24" t="s">
        <v>40</v>
      </c>
      <c r="F12" s="84">
        <v>637044</v>
      </c>
      <c r="G12" s="84">
        <v>11356</v>
      </c>
      <c r="H12" s="24" t="s">
        <v>62</v>
      </c>
      <c r="I12" s="84">
        <f>F12*G12*2000/1000000</f>
        <v>14468543.328</v>
      </c>
      <c r="J12" s="97">
        <v>14751582</v>
      </c>
      <c r="K12" s="98">
        <v>1546789</v>
      </c>
      <c r="L12" s="99"/>
    </row>
    <row r="13" spans="1:26" ht="12.75" customHeight="1" x14ac:dyDescent="0.2">
      <c r="B13" s="49"/>
      <c r="C13" s="24"/>
      <c r="D13" s="24"/>
      <c r="E13" s="24"/>
      <c r="F13" s="84"/>
      <c r="G13" s="84"/>
      <c r="H13" s="24"/>
      <c r="I13" s="102"/>
      <c r="J13" s="102"/>
      <c r="K13" s="103"/>
      <c r="L13" s="99"/>
    </row>
    <row r="14" spans="1:26" ht="12.75" customHeight="1" x14ac:dyDescent="0.2">
      <c r="B14" s="104" t="s">
        <v>71</v>
      </c>
      <c r="C14" s="62" t="s">
        <v>72</v>
      </c>
      <c r="D14" s="24"/>
      <c r="E14" s="24"/>
      <c r="F14" s="84"/>
      <c r="G14" s="84"/>
      <c r="H14" s="24"/>
      <c r="I14" s="24"/>
      <c r="J14" s="24"/>
      <c r="K14" s="86"/>
      <c r="L14" s="99"/>
    </row>
    <row r="15" spans="1:26" ht="12.75" customHeight="1" x14ac:dyDescent="0.2">
      <c r="B15" s="49"/>
      <c r="C15" s="24"/>
      <c r="D15" s="106" t="s">
        <v>75</v>
      </c>
      <c r="E15" s="24" t="s">
        <v>78</v>
      </c>
      <c r="F15" s="84">
        <v>1905266</v>
      </c>
      <c r="G15" s="84">
        <v>11356</v>
      </c>
      <c r="H15" s="24" t="s">
        <v>62</v>
      </c>
      <c r="I15" s="84">
        <f t="shared" ref="I15:I16" si="0">(F15*G15*2000)/1000000</f>
        <v>43272401.391999997</v>
      </c>
      <c r="J15" s="107">
        <v>39865596</v>
      </c>
      <c r="K15" s="108">
        <v>4090213.4</v>
      </c>
      <c r="L15" s="99"/>
    </row>
    <row r="16" spans="1:26" ht="12.75" customHeight="1" x14ac:dyDescent="0.2">
      <c r="B16" s="49"/>
      <c r="C16" s="24"/>
      <c r="D16" s="106" t="s">
        <v>85</v>
      </c>
      <c r="E16" s="24" t="s">
        <v>78</v>
      </c>
      <c r="F16" s="84">
        <v>1676361</v>
      </c>
      <c r="G16" s="84">
        <v>11356</v>
      </c>
      <c r="H16" s="24" t="s">
        <v>62</v>
      </c>
      <c r="I16" s="84">
        <f t="shared" si="0"/>
        <v>38073511.031999998</v>
      </c>
      <c r="J16" s="107">
        <v>39027527</v>
      </c>
      <c r="K16" s="108">
        <v>4004228.7</v>
      </c>
      <c r="L16" s="99"/>
    </row>
    <row r="17" spans="2:12" ht="12.75" customHeight="1" x14ac:dyDescent="0.2">
      <c r="B17" s="49"/>
      <c r="C17" s="24"/>
      <c r="D17" s="53"/>
      <c r="E17" s="24"/>
      <c r="F17" s="109">
        <f>SUM(F15:F16)</f>
        <v>3581627</v>
      </c>
      <c r="G17" s="84"/>
      <c r="H17" s="24"/>
      <c r="I17" s="102"/>
      <c r="J17" s="109">
        <f t="shared" ref="J17:K17" si="1">SUM(J15:J16)</f>
        <v>78893123</v>
      </c>
      <c r="K17" s="112">
        <f t="shared" si="1"/>
        <v>8094442.0999999996</v>
      </c>
      <c r="L17" s="99"/>
    </row>
    <row r="18" spans="2:12" ht="11.25" customHeight="1" x14ac:dyDescent="0.2">
      <c r="B18" s="49"/>
      <c r="C18" s="24"/>
      <c r="D18" s="53"/>
      <c r="E18" s="24"/>
      <c r="F18" s="84"/>
      <c r="G18" s="84"/>
      <c r="H18" s="24"/>
      <c r="I18" s="24"/>
      <c r="J18" s="24"/>
      <c r="K18" s="86"/>
      <c r="L18" s="99"/>
    </row>
    <row r="19" spans="2:12" ht="12.75" customHeight="1" x14ac:dyDescent="0.2">
      <c r="B19" s="104" t="s">
        <v>98</v>
      </c>
      <c r="C19" s="62" t="s">
        <v>29</v>
      </c>
      <c r="D19" s="53"/>
      <c r="E19" s="24"/>
      <c r="F19" s="84"/>
      <c r="G19" s="84"/>
      <c r="H19" s="24"/>
      <c r="I19" s="24"/>
      <c r="J19" s="24"/>
      <c r="K19" s="86"/>
      <c r="L19" s="99"/>
    </row>
    <row r="20" spans="2:12" ht="12.75" customHeight="1" x14ac:dyDescent="0.2">
      <c r="B20" s="49"/>
      <c r="C20" s="24" t="s">
        <v>101</v>
      </c>
      <c r="D20" s="106" t="s">
        <v>102</v>
      </c>
      <c r="E20" s="24" t="s">
        <v>78</v>
      </c>
      <c r="F20" s="84">
        <v>404552</v>
      </c>
      <c r="G20" s="84">
        <v>11356</v>
      </c>
      <c r="H20" s="24" t="s">
        <v>62</v>
      </c>
      <c r="I20" s="84">
        <f t="shared" ref="I20:I21" si="2">(F20*G20*2000)/1000000</f>
        <v>9188185.0240000002</v>
      </c>
      <c r="J20" s="107">
        <v>10825025</v>
      </c>
      <c r="K20" s="108">
        <v>1110643.8</v>
      </c>
      <c r="L20" s="99"/>
    </row>
    <row r="21" spans="2:12" ht="12.75" customHeight="1" x14ac:dyDescent="0.2">
      <c r="B21" s="49"/>
      <c r="C21" s="24" t="s">
        <v>108</v>
      </c>
      <c r="D21" s="106" t="s">
        <v>109</v>
      </c>
      <c r="E21" s="24" t="s">
        <v>78</v>
      </c>
      <c r="F21" s="84">
        <v>369913</v>
      </c>
      <c r="G21" s="84">
        <v>11356</v>
      </c>
      <c r="H21" s="24" t="s">
        <v>62</v>
      </c>
      <c r="I21" s="84">
        <f t="shared" si="2"/>
        <v>8401464.0559999999</v>
      </c>
      <c r="J21" s="107">
        <v>9519110</v>
      </c>
      <c r="K21" s="108">
        <v>976658.5</v>
      </c>
      <c r="L21" s="99"/>
    </row>
    <row r="22" spans="2:12" ht="12.75" customHeight="1" x14ac:dyDescent="0.2">
      <c r="B22" s="49"/>
      <c r="C22" s="24"/>
      <c r="D22" s="53"/>
      <c r="E22" s="24"/>
      <c r="F22" s="109">
        <f>SUM(F20:F21)</f>
        <v>774465</v>
      </c>
      <c r="G22" s="84"/>
      <c r="H22" s="24"/>
      <c r="I22" s="84"/>
      <c r="J22" s="109">
        <f t="shared" ref="J22:K22" si="3">SUM(J20:J21)</f>
        <v>20344135</v>
      </c>
      <c r="K22" s="112">
        <f t="shared" si="3"/>
        <v>2087302.3</v>
      </c>
      <c r="L22" s="99"/>
    </row>
    <row r="23" spans="2:12" ht="12.75" customHeight="1" x14ac:dyDescent="0.2">
      <c r="B23" s="104" t="s">
        <v>118</v>
      </c>
      <c r="C23" s="62" t="s">
        <v>119</v>
      </c>
      <c r="D23" s="24"/>
      <c r="E23" s="24"/>
      <c r="F23" s="84"/>
      <c r="G23" s="84"/>
      <c r="H23" s="24"/>
      <c r="I23" s="102"/>
      <c r="J23" s="102"/>
      <c r="K23" s="103"/>
      <c r="L23" s="99"/>
    </row>
    <row r="24" spans="2:12" ht="12.75" customHeight="1" x14ac:dyDescent="0.2">
      <c r="B24" s="49"/>
      <c r="C24" s="24" t="s">
        <v>121</v>
      </c>
      <c r="D24" s="106" t="s">
        <v>75</v>
      </c>
      <c r="E24" s="24" t="s">
        <v>40</v>
      </c>
      <c r="F24" s="84">
        <v>726410</v>
      </c>
      <c r="G24" s="84">
        <v>12810</v>
      </c>
      <c r="H24" s="24" t="s">
        <v>122</v>
      </c>
      <c r="I24" s="84">
        <f t="shared" ref="I24:I25" si="4">(F24*G24*2000)/1000000</f>
        <v>18610624.199999999</v>
      </c>
      <c r="J24" s="107">
        <v>19830382</v>
      </c>
      <c r="K24" s="108">
        <v>2031754</v>
      </c>
      <c r="L24" s="99"/>
    </row>
    <row r="25" spans="2:12" ht="12.75" customHeight="1" x14ac:dyDescent="0.2">
      <c r="B25" s="49"/>
      <c r="C25" s="24" t="s">
        <v>123</v>
      </c>
      <c r="D25" s="106" t="s">
        <v>85</v>
      </c>
      <c r="E25" s="24" t="s">
        <v>40</v>
      </c>
      <c r="F25" s="84">
        <v>780539</v>
      </c>
      <c r="G25" s="84">
        <v>12802</v>
      </c>
      <c r="H25" s="24" t="s">
        <v>122</v>
      </c>
      <c r="I25" s="84">
        <f t="shared" si="4"/>
        <v>19984920.556000002</v>
      </c>
      <c r="J25" s="107">
        <v>21186709</v>
      </c>
      <c r="K25" s="108">
        <v>2170183</v>
      </c>
      <c r="L25" s="99"/>
    </row>
    <row r="26" spans="2:12" ht="12.75" customHeight="1" x14ac:dyDescent="0.2">
      <c r="B26" s="49"/>
      <c r="C26" s="24"/>
      <c r="D26" s="24"/>
      <c r="E26" s="24"/>
      <c r="F26" s="84"/>
      <c r="G26" s="84"/>
      <c r="H26" s="24"/>
      <c r="I26" s="84"/>
      <c r="J26" s="109">
        <f t="shared" ref="J26:K26" si="5">SUM(J24:J25)</f>
        <v>41017091</v>
      </c>
      <c r="K26" s="112">
        <f t="shared" si="5"/>
        <v>4201937</v>
      </c>
      <c r="L26" s="99"/>
    </row>
    <row r="27" spans="2:12" ht="12.75" customHeight="1" x14ac:dyDescent="0.2">
      <c r="B27" s="104" t="s">
        <v>129</v>
      </c>
      <c r="C27" s="62" t="s">
        <v>130</v>
      </c>
      <c r="D27" s="24"/>
      <c r="E27" s="24"/>
      <c r="F27" s="84"/>
      <c r="G27" s="84"/>
      <c r="H27" s="24"/>
      <c r="I27" s="84"/>
      <c r="J27" s="84"/>
      <c r="K27" s="128"/>
      <c r="L27" s="99"/>
    </row>
    <row r="28" spans="2:12" ht="12.75" customHeight="1" x14ac:dyDescent="0.2">
      <c r="B28" s="49"/>
      <c r="C28" s="24" t="s">
        <v>131</v>
      </c>
      <c r="D28" s="106" t="s">
        <v>85</v>
      </c>
      <c r="E28" s="24" t="s">
        <v>78</v>
      </c>
      <c r="F28" s="84">
        <v>301760</v>
      </c>
      <c r="G28" s="84">
        <v>24</v>
      </c>
      <c r="H28" s="24" t="s">
        <v>133</v>
      </c>
      <c r="I28" s="84">
        <f t="shared" ref="I28:I29" si="6">(F28*G28)</f>
        <v>7242240</v>
      </c>
      <c r="J28" s="107">
        <v>8755729</v>
      </c>
      <c r="K28" s="108">
        <v>898338.2</v>
      </c>
      <c r="L28" s="99"/>
    </row>
    <row r="29" spans="2:12" ht="12.75" customHeight="1" x14ac:dyDescent="0.2">
      <c r="B29" s="49"/>
      <c r="C29" s="24" t="s">
        <v>136</v>
      </c>
      <c r="D29" s="106" t="s">
        <v>137</v>
      </c>
      <c r="E29" s="24" t="s">
        <v>78</v>
      </c>
      <c r="F29" s="84">
        <v>735196</v>
      </c>
      <c r="G29" s="84">
        <v>24</v>
      </c>
      <c r="H29" s="24" t="s">
        <v>133</v>
      </c>
      <c r="I29" s="84">
        <f t="shared" si="6"/>
        <v>17644704</v>
      </c>
      <c r="J29" s="107">
        <v>18039441</v>
      </c>
      <c r="K29" s="108">
        <v>1850845.3</v>
      </c>
      <c r="L29" s="99"/>
    </row>
    <row r="30" spans="2:12" ht="12.75" customHeight="1" x14ac:dyDescent="0.2">
      <c r="B30" s="49"/>
      <c r="C30" s="24"/>
      <c r="D30" s="53"/>
      <c r="E30" s="24"/>
      <c r="F30" s="109">
        <f>SUM(F28:F29)</f>
        <v>1036956</v>
      </c>
      <c r="G30" s="84"/>
      <c r="H30" s="24"/>
      <c r="I30" s="84"/>
      <c r="J30" s="109">
        <f t="shared" ref="J30:K30" si="7">SUM(J28:J29)</f>
        <v>26795170</v>
      </c>
      <c r="K30" s="112">
        <f t="shared" si="7"/>
        <v>2749183.5</v>
      </c>
      <c r="L30" s="99"/>
    </row>
    <row r="31" spans="2:12" ht="12.75" customHeight="1" x14ac:dyDescent="0.2">
      <c r="B31" s="104" t="s">
        <v>142</v>
      </c>
      <c r="C31" s="62" t="s">
        <v>143</v>
      </c>
      <c r="D31" s="53"/>
      <c r="E31" s="24"/>
      <c r="F31" s="84"/>
      <c r="G31" s="84"/>
      <c r="H31" s="24"/>
      <c r="I31" s="24"/>
      <c r="J31" s="24"/>
      <c r="K31" s="86"/>
      <c r="L31" s="99"/>
    </row>
    <row r="32" spans="2:12" ht="12.75" customHeight="1" x14ac:dyDescent="0.2">
      <c r="B32" s="49"/>
      <c r="C32" s="24" t="s">
        <v>146</v>
      </c>
      <c r="D32" s="106" t="s">
        <v>147</v>
      </c>
      <c r="E32" s="24" t="s">
        <v>40</v>
      </c>
      <c r="F32" s="84">
        <v>53689.5</v>
      </c>
      <c r="G32" s="84">
        <v>11736</v>
      </c>
      <c r="H32" s="24" t="s">
        <v>62</v>
      </c>
      <c r="I32" s="84">
        <f t="shared" ref="I32:I33" si="8">(F32*G32*2000)/1000000</f>
        <v>1260199.9439999999</v>
      </c>
      <c r="J32" s="107">
        <v>1260200</v>
      </c>
      <c r="K32" s="108">
        <v>129294</v>
      </c>
      <c r="L32" s="99"/>
    </row>
    <row r="33" spans="2:12" ht="12.75" customHeight="1" x14ac:dyDescent="0.2">
      <c r="B33" s="49"/>
      <c r="C33" s="24" t="s">
        <v>151</v>
      </c>
      <c r="D33" s="106" t="s">
        <v>152</v>
      </c>
      <c r="E33" s="24" t="s">
        <v>40</v>
      </c>
      <c r="F33" s="84">
        <v>201790.9</v>
      </c>
      <c r="G33" s="84">
        <v>11736</v>
      </c>
      <c r="H33" s="24" t="s">
        <v>62</v>
      </c>
      <c r="I33" s="84">
        <f t="shared" si="8"/>
        <v>4736436.0048000002</v>
      </c>
      <c r="J33" s="107">
        <v>4736436</v>
      </c>
      <c r="K33" s="108">
        <v>485957</v>
      </c>
      <c r="L33" s="99"/>
    </row>
    <row r="34" spans="2:12" ht="12.75" customHeight="1" x14ac:dyDescent="0.2">
      <c r="B34" s="49"/>
      <c r="C34" s="24"/>
      <c r="D34" s="24"/>
      <c r="E34" s="24"/>
      <c r="F34" s="109">
        <f>SUM(F32:F33)</f>
        <v>255480.4</v>
      </c>
      <c r="G34" s="84"/>
      <c r="H34" s="24"/>
      <c r="I34" s="84"/>
      <c r="J34" s="109">
        <f t="shared" ref="J34:K34" si="9">SUM(J32:J33)</f>
        <v>5996636</v>
      </c>
      <c r="K34" s="112">
        <f t="shared" si="9"/>
        <v>615251</v>
      </c>
      <c r="L34" s="99"/>
    </row>
    <row r="35" spans="2:12" ht="12.75" customHeight="1" x14ac:dyDescent="0.2">
      <c r="B35" s="104" t="s">
        <v>160</v>
      </c>
      <c r="C35" s="136" t="s">
        <v>161</v>
      </c>
      <c r="D35" s="24"/>
      <c r="E35" s="24"/>
      <c r="F35" s="84"/>
      <c r="G35" s="84"/>
      <c r="H35" s="24"/>
      <c r="I35" s="24"/>
      <c r="J35" s="24"/>
      <c r="K35" s="86"/>
      <c r="L35" s="99"/>
    </row>
    <row r="36" spans="2:12" ht="12.75" customHeight="1" x14ac:dyDescent="0.2">
      <c r="B36" s="49"/>
      <c r="C36" s="24" t="s">
        <v>163</v>
      </c>
      <c r="D36" s="106" t="s">
        <v>164</v>
      </c>
      <c r="E36" s="24" t="s">
        <v>40</v>
      </c>
      <c r="F36" s="84">
        <v>401640</v>
      </c>
      <c r="G36" s="84">
        <v>12910</v>
      </c>
      <c r="H36" s="24" t="s">
        <v>62</v>
      </c>
      <c r="I36" s="84">
        <f t="shared" ref="I36:I38" si="10">(F36*G36*2000)/1000000</f>
        <v>10370344.800000001</v>
      </c>
      <c r="J36" s="107">
        <v>10305447</v>
      </c>
      <c r="K36" s="108">
        <v>1057336</v>
      </c>
      <c r="L36" s="99"/>
    </row>
    <row r="37" spans="2:12" ht="12.75" customHeight="1" x14ac:dyDescent="0.2">
      <c r="B37" s="49"/>
      <c r="C37" s="24" t="s">
        <v>168</v>
      </c>
      <c r="D37" s="106" t="s">
        <v>169</v>
      </c>
      <c r="E37" s="24" t="s">
        <v>40</v>
      </c>
      <c r="F37" s="84">
        <v>342990</v>
      </c>
      <c r="G37" s="84">
        <v>12910</v>
      </c>
      <c r="H37" s="24" t="s">
        <v>62</v>
      </c>
      <c r="I37" s="84">
        <f t="shared" si="10"/>
        <v>8856001.8000000007</v>
      </c>
      <c r="J37" s="107">
        <v>8948983</v>
      </c>
      <c r="K37" s="108">
        <v>918164</v>
      </c>
      <c r="L37" s="99"/>
    </row>
    <row r="38" spans="2:12" ht="12.75" customHeight="1" x14ac:dyDescent="0.2">
      <c r="B38" s="49"/>
      <c r="C38" s="24" t="s">
        <v>170</v>
      </c>
      <c r="D38" s="106" t="s">
        <v>171</v>
      </c>
      <c r="E38" s="24" t="s">
        <v>40</v>
      </c>
      <c r="F38" s="84">
        <v>418238</v>
      </c>
      <c r="G38" s="84">
        <v>12910</v>
      </c>
      <c r="H38" s="24" t="s">
        <v>62</v>
      </c>
      <c r="I38" s="84">
        <f t="shared" si="10"/>
        <v>10798905.16</v>
      </c>
      <c r="J38" s="107">
        <v>11940584</v>
      </c>
      <c r="K38" s="108">
        <v>1225103</v>
      </c>
      <c r="L38" s="99"/>
    </row>
    <row r="39" spans="2:12" ht="12.75" customHeight="1" x14ac:dyDescent="0.2">
      <c r="B39" s="49"/>
      <c r="C39" s="24"/>
      <c r="D39" s="24"/>
      <c r="E39" s="24"/>
      <c r="F39" s="109">
        <f>SUM(F36:F38)</f>
        <v>1162868</v>
      </c>
      <c r="G39" s="84"/>
      <c r="H39" s="24"/>
      <c r="I39" s="24"/>
      <c r="J39" s="109">
        <f t="shared" ref="J39:K39" si="11">SUM(J36:J38)</f>
        <v>31195014</v>
      </c>
      <c r="K39" s="112">
        <f t="shared" si="11"/>
        <v>3200603</v>
      </c>
      <c r="L39" s="99"/>
    </row>
    <row r="40" spans="2:12" ht="12.75" customHeight="1" x14ac:dyDescent="0.2">
      <c r="B40" s="49" t="s">
        <v>176</v>
      </c>
      <c r="C40" s="136" t="s">
        <v>178</v>
      </c>
      <c r="D40" s="24"/>
      <c r="E40" s="24"/>
      <c r="F40" s="84"/>
      <c r="G40" s="84"/>
      <c r="H40" s="24"/>
      <c r="I40" s="24"/>
      <c r="J40" s="24"/>
      <c r="K40" s="86"/>
      <c r="L40" s="99"/>
    </row>
    <row r="41" spans="2:12" ht="12.75" customHeight="1" x14ac:dyDescent="0.2">
      <c r="B41" s="49"/>
      <c r="C41" s="24" t="s">
        <v>180</v>
      </c>
      <c r="D41" s="106">
        <v>1</v>
      </c>
      <c r="E41" s="24" t="s">
        <v>181</v>
      </c>
      <c r="F41" s="84">
        <v>1325700</v>
      </c>
      <c r="G41" s="84">
        <v>13282</v>
      </c>
      <c r="H41" s="24" t="s">
        <v>62</v>
      </c>
      <c r="I41" s="99">
        <f t="shared" ref="I41:I42" si="12">(F41*G41*2000)/1000000</f>
        <v>35215894.799999997</v>
      </c>
      <c r="J41" s="107">
        <v>35354741</v>
      </c>
      <c r="K41" s="108">
        <v>3625815.6</v>
      </c>
      <c r="L41" s="99"/>
    </row>
    <row r="42" spans="2:12" ht="12.75" customHeight="1" x14ac:dyDescent="0.2">
      <c r="B42" s="49"/>
      <c r="C42" s="24" t="s">
        <v>185</v>
      </c>
      <c r="D42" s="106">
        <v>2</v>
      </c>
      <c r="E42" s="24" t="s">
        <v>40</v>
      </c>
      <c r="F42" s="84">
        <v>1321775</v>
      </c>
      <c r="G42" s="84">
        <v>13282</v>
      </c>
      <c r="H42" s="24" t="s">
        <v>62</v>
      </c>
      <c r="I42" s="99">
        <f t="shared" si="12"/>
        <v>35111631.100000001</v>
      </c>
      <c r="J42" s="107">
        <v>35112681</v>
      </c>
      <c r="K42" s="108">
        <v>3600876.8</v>
      </c>
      <c r="L42" s="99"/>
    </row>
    <row r="43" spans="2:12" ht="12.75" customHeight="1" x14ac:dyDescent="0.2">
      <c r="B43" s="49"/>
      <c r="C43" s="24"/>
      <c r="D43" s="53"/>
      <c r="E43" s="24"/>
      <c r="F43" s="109">
        <f>SUM(F41:F42)</f>
        <v>2647475</v>
      </c>
      <c r="G43" s="84"/>
      <c r="H43" s="24"/>
      <c r="I43" s="84"/>
      <c r="J43" s="109">
        <f t="shared" ref="J43:K43" si="13">SUM(J41:J42)</f>
        <v>70467422</v>
      </c>
      <c r="K43" s="112">
        <f t="shared" si="13"/>
        <v>7226692.4000000004</v>
      </c>
      <c r="L43" s="99"/>
    </row>
    <row r="44" spans="2:12" ht="12.75" customHeight="1" x14ac:dyDescent="0.2">
      <c r="B44" s="49"/>
      <c r="C44" s="147"/>
      <c r="D44" s="53"/>
      <c r="E44" s="24"/>
      <c r="F44" s="84"/>
      <c r="G44" s="84"/>
      <c r="H44" s="24"/>
      <c r="I44" s="84"/>
      <c r="J44" s="84"/>
      <c r="K44" s="128"/>
      <c r="L44" s="84"/>
    </row>
    <row r="45" spans="2:12" ht="12.75" customHeight="1" x14ac:dyDescent="0.2">
      <c r="B45" s="49"/>
      <c r="C45" s="136" t="s">
        <v>191</v>
      </c>
      <c r="D45" s="106" t="s">
        <v>193</v>
      </c>
      <c r="E45" s="24" t="s">
        <v>40</v>
      </c>
      <c r="F45" s="84"/>
      <c r="G45" s="84"/>
      <c r="H45" s="24"/>
      <c r="I45" s="84"/>
      <c r="J45" s="107">
        <v>12554530.306191761</v>
      </c>
      <c r="K45" s="108">
        <v>1285927.8608228231</v>
      </c>
      <c r="L45" s="84"/>
    </row>
    <row r="46" spans="2:12" ht="12.75" customHeight="1" x14ac:dyDescent="0.2">
      <c r="B46" s="49"/>
      <c r="C46" s="147"/>
      <c r="D46" s="53"/>
      <c r="E46" s="24"/>
      <c r="F46" s="84"/>
      <c r="G46" s="84"/>
      <c r="H46" s="24"/>
      <c r="I46" s="84"/>
      <c r="J46" s="84"/>
      <c r="K46" s="128"/>
      <c r="L46" s="84"/>
    </row>
    <row r="47" spans="2:12" ht="12.75" customHeight="1" x14ac:dyDescent="0.2">
      <c r="B47" s="49"/>
      <c r="C47" s="24"/>
      <c r="D47" s="24"/>
      <c r="E47" s="24"/>
      <c r="F47" s="84"/>
      <c r="G47" s="84"/>
      <c r="H47" s="24"/>
      <c r="I47" s="148"/>
      <c r="J47" s="148"/>
      <c r="K47" s="149"/>
      <c r="L47" s="84"/>
    </row>
    <row r="48" spans="2:12" ht="12.75" customHeight="1" x14ac:dyDescent="0.2">
      <c r="B48" s="49"/>
      <c r="C48" s="24"/>
      <c r="D48" s="24"/>
      <c r="E48" s="24"/>
      <c r="F48" s="84"/>
      <c r="G48" s="84"/>
      <c r="H48" s="24"/>
      <c r="I48" s="148"/>
      <c r="J48" s="148"/>
      <c r="K48" s="86"/>
      <c r="L48" s="84"/>
    </row>
    <row r="49" spans="2:12" ht="12.75" customHeight="1" x14ac:dyDescent="0.2">
      <c r="B49" s="49"/>
      <c r="C49" s="24"/>
      <c r="D49" s="24"/>
      <c r="E49" s="24"/>
      <c r="F49" s="24"/>
      <c r="G49" s="24"/>
      <c r="H49" s="1765" t="s">
        <v>200</v>
      </c>
      <c r="I49" s="1766"/>
      <c r="J49" s="152">
        <f t="shared" ref="J49:K49" si="14">J45+J43+J39+J34+J30+J26+J22+J17+J12</f>
        <v>302014703.30619174</v>
      </c>
      <c r="K49" s="153">
        <f t="shared" si="14"/>
        <v>31008128.160822824</v>
      </c>
      <c r="L49" s="24"/>
    </row>
    <row r="50" spans="2:12" ht="12" customHeight="1" x14ac:dyDescent="0.2">
      <c r="B50" s="154"/>
      <c r="C50" s="155"/>
      <c r="D50" s="155"/>
      <c r="E50" s="155"/>
      <c r="F50" s="155"/>
      <c r="G50" s="155"/>
      <c r="H50" s="155"/>
      <c r="I50" s="155"/>
      <c r="J50" s="155"/>
      <c r="K50" s="156"/>
      <c r="L50" s="24"/>
    </row>
    <row r="51" spans="2:12" ht="12" customHeight="1" x14ac:dyDescent="0.2">
      <c r="L51" s="24"/>
    </row>
    <row r="52" spans="2:12" ht="11.25" customHeight="1" x14ac:dyDescent="0.2">
      <c r="L52" s="24"/>
    </row>
    <row r="53" spans="2:12" ht="11.25" customHeight="1" x14ac:dyDescent="0.2">
      <c r="L53" s="24"/>
    </row>
    <row r="54" spans="2:12" ht="11.25" customHeight="1" x14ac:dyDescent="0.2">
      <c r="L54" s="24"/>
    </row>
    <row r="55" spans="2:12" ht="11.25" customHeight="1" x14ac:dyDescent="0.2">
      <c r="L55" s="24"/>
    </row>
    <row r="56" spans="2:12" ht="21" customHeight="1" x14ac:dyDescent="0.35">
      <c r="B56" s="18" t="s">
        <v>209</v>
      </c>
      <c r="L56" s="24"/>
    </row>
    <row r="57" spans="2:12" ht="12" customHeight="1" x14ac:dyDescent="0.2">
      <c r="L57" s="24"/>
    </row>
    <row r="58" spans="2:12" ht="13.5" customHeight="1" x14ac:dyDescent="0.2">
      <c r="B58" s="26"/>
      <c r="C58" s="31"/>
      <c r="D58" s="31"/>
      <c r="E58" s="157" t="s">
        <v>210</v>
      </c>
      <c r="F58" s="31"/>
      <c r="G58" s="31"/>
      <c r="H58" s="31"/>
      <c r="I58" s="31"/>
      <c r="J58" s="31"/>
      <c r="K58" s="28"/>
      <c r="L58" s="24"/>
    </row>
    <row r="59" spans="2:12" ht="12.75" customHeight="1" x14ac:dyDescent="0.2">
      <c r="B59" s="49"/>
      <c r="C59" s="24"/>
      <c r="D59" s="24"/>
      <c r="E59" s="24"/>
      <c r="F59" s="24"/>
      <c r="G59" s="21"/>
      <c r="H59" s="24"/>
      <c r="I59" s="24"/>
      <c r="J59" s="24"/>
      <c r="K59" s="86"/>
      <c r="L59" s="24"/>
    </row>
    <row r="60" spans="2:12" ht="12.75" customHeight="1" x14ac:dyDescent="0.2">
      <c r="B60" s="49"/>
      <c r="C60" s="24"/>
      <c r="D60" s="24"/>
      <c r="E60" s="24"/>
      <c r="F60" s="24"/>
      <c r="G60" s="158"/>
      <c r="H60" s="158"/>
      <c r="I60" s="24"/>
      <c r="J60" s="24"/>
      <c r="K60" s="86"/>
      <c r="L60" s="24"/>
    </row>
    <row r="61" spans="2:12" ht="12.75" customHeight="1" x14ac:dyDescent="0.2">
      <c r="B61" s="49"/>
      <c r="C61" s="24"/>
      <c r="D61" s="24"/>
      <c r="E61" s="24"/>
      <c r="F61" s="24"/>
      <c r="G61" s="158"/>
      <c r="H61" s="158"/>
      <c r="I61" s="24"/>
      <c r="J61" s="24"/>
      <c r="K61" s="86"/>
      <c r="L61" s="24"/>
    </row>
    <row r="62" spans="2:12" ht="14.25" customHeight="1" x14ac:dyDescent="0.25">
      <c r="B62" s="49"/>
      <c r="C62" s="24"/>
      <c r="D62" s="62" t="s">
        <v>19</v>
      </c>
      <c r="E62" s="62" t="s">
        <v>20</v>
      </c>
      <c r="F62" s="62" t="s">
        <v>21</v>
      </c>
      <c r="G62" s="62" t="s">
        <v>23</v>
      </c>
      <c r="H62" s="62" t="s">
        <v>23</v>
      </c>
      <c r="I62" s="159" t="s">
        <v>38</v>
      </c>
      <c r="J62" s="160" t="s">
        <v>38</v>
      </c>
      <c r="K62" s="60" t="s">
        <v>221</v>
      </c>
      <c r="L62" s="24"/>
    </row>
    <row r="63" spans="2:12" ht="12.75" customHeight="1" x14ac:dyDescent="0.2">
      <c r="B63" s="49"/>
      <c r="C63" s="24"/>
      <c r="D63" s="62"/>
      <c r="E63" s="62"/>
      <c r="F63" s="62" t="s">
        <v>223</v>
      </c>
      <c r="G63" s="62"/>
      <c r="H63" s="62" t="s">
        <v>225</v>
      </c>
      <c r="I63" s="68" t="s">
        <v>43</v>
      </c>
      <c r="J63" s="163" t="s">
        <v>43</v>
      </c>
      <c r="K63" s="164" t="s">
        <v>41</v>
      </c>
      <c r="L63" s="24"/>
    </row>
    <row r="64" spans="2:12" ht="12.75" customHeight="1" x14ac:dyDescent="0.2">
      <c r="B64" s="49"/>
      <c r="C64" s="24"/>
      <c r="D64" s="62"/>
      <c r="E64" s="62"/>
      <c r="F64" s="62"/>
      <c r="G64" s="62"/>
      <c r="H64" s="62"/>
      <c r="I64" s="68" t="s">
        <v>50</v>
      </c>
      <c r="J64" s="163" t="s">
        <v>51</v>
      </c>
      <c r="K64" s="166" t="s">
        <v>51</v>
      </c>
      <c r="L64" s="24"/>
    </row>
    <row r="65" spans="2:12" ht="11.25" customHeight="1" x14ac:dyDescent="0.2">
      <c r="B65" s="49"/>
      <c r="C65" s="24"/>
      <c r="D65" s="24"/>
      <c r="E65" s="24"/>
      <c r="F65" s="84"/>
      <c r="G65" s="24"/>
      <c r="H65" s="24"/>
      <c r="I65" s="24"/>
      <c r="J65" s="24"/>
      <c r="K65" s="86"/>
      <c r="L65" s="24"/>
    </row>
    <row r="66" spans="2:12" ht="12.75" customHeight="1" x14ac:dyDescent="0.2">
      <c r="B66" s="49" t="s">
        <v>55</v>
      </c>
      <c r="C66" s="62" t="s">
        <v>56</v>
      </c>
      <c r="D66" s="90" t="s">
        <v>60</v>
      </c>
      <c r="E66" s="24" t="s">
        <v>229</v>
      </c>
      <c r="F66" s="84">
        <v>242200</v>
      </c>
      <c r="G66" s="84">
        <v>140000</v>
      </c>
      <c r="H66" s="24" t="s">
        <v>100</v>
      </c>
      <c r="I66" s="167">
        <f t="shared" ref="I66:I67" si="15">F66*G66/1000000</f>
        <v>33908</v>
      </c>
      <c r="J66" s="167"/>
      <c r="K66" s="168"/>
      <c r="L66" s="24"/>
    </row>
    <row r="67" spans="2:12" ht="11.25" customHeight="1" x14ac:dyDescent="0.2">
      <c r="B67" s="49"/>
      <c r="C67" s="24" t="s">
        <v>59</v>
      </c>
      <c r="D67" s="24" t="s">
        <v>232</v>
      </c>
      <c r="E67" s="24" t="s">
        <v>229</v>
      </c>
      <c r="F67" s="84">
        <v>623</v>
      </c>
      <c r="G67" s="84">
        <v>140000</v>
      </c>
      <c r="H67" s="24" t="s">
        <v>100</v>
      </c>
      <c r="I67" s="24">
        <f t="shared" si="15"/>
        <v>87.22</v>
      </c>
      <c r="J67" s="24"/>
      <c r="K67" s="171"/>
      <c r="L67" s="24"/>
    </row>
    <row r="68" spans="2:12" ht="12.75" customHeight="1" x14ac:dyDescent="0.2">
      <c r="B68" s="49"/>
      <c r="C68" s="24"/>
      <c r="D68" s="24"/>
      <c r="E68" s="24"/>
      <c r="F68" s="109">
        <f>SUM(F66:F67)</f>
        <v>242823</v>
      </c>
      <c r="G68" s="84"/>
      <c r="H68" s="24"/>
      <c r="I68" s="109">
        <f>SUM(I66:I67)</f>
        <v>33995.22</v>
      </c>
      <c r="J68" s="102"/>
      <c r="K68" s="103"/>
      <c r="L68" s="24"/>
    </row>
    <row r="69" spans="2:12" ht="12.75" customHeight="1" x14ac:dyDescent="0.2">
      <c r="B69" s="49"/>
      <c r="C69" s="24"/>
      <c r="D69" s="24"/>
      <c r="E69" s="24"/>
      <c r="F69" s="84"/>
      <c r="G69" s="84"/>
      <c r="H69" s="24"/>
      <c r="I69" s="102"/>
      <c r="J69" s="102"/>
      <c r="K69" s="103"/>
      <c r="L69" s="24"/>
    </row>
    <row r="70" spans="2:12" ht="12.75" customHeight="1" x14ac:dyDescent="0.2">
      <c r="B70" s="104" t="s">
        <v>71</v>
      </c>
      <c r="C70" s="62" t="s">
        <v>72</v>
      </c>
      <c r="D70" s="24"/>
      <c r="E70" s="24"/>
      <c r="F70" s="84"/>
      <c r="G70" s="84"/>
      <c r="H70" s="24"/>
      <c r="I70" s="24"/>
      <c r="J70" s="24"/>
      <c r="K70" s="86"/>
      <c r="L70" s="24"/>
    </row>
    <row r="71" spans="2:12" ht="11.25" customHeight="1" x14ac:dyDescent="0.2">
      <c r="B71" s="49"/>
      <c r="C71" s="161" t="s">
        <v>246</v>
      </c>
      <c r="D71" s="106" t="s">
        <v>75</v>
      </c>
      <c r="E71" s="24" t="s">
        <v>34</v>
      </c>
      <c r="F71" s="84">
        <v>851000</v>
      </c>
      <c r="G71" s="84">
        <v>139</v>
      </c>
      <c r="H71" s="24" t="s">
        <v>37</v>
      </c>
      <c r="I71" s="84">
        <f t="shared" ref="I71:I72" si="16">(F71*G71)/1000</f>
        <v>118289</v>
      </c>
      <c r="J71" s="84"/>
      <c r="K71" s="128"/>
      <c r="L71" s="24"/>
    </row>
    <row r="72" spans="2:12" ht="11.25" customHeight="1" x14ac:dyDescent="0.2">
      <c r="B72" s="49"/>
      <c r="C72" s="161" t="s">
        <v>250</v>
      </c>
      <c r="D72" s="106" t="s">
        <v>85</v>
      </c>
      <c r="E72" s="24" t="s">
        <v>34</v>
      </c>
      <c r="F72" s="84">
        <v>667000</v>
      </c>
      <c r="G72" s="84">
        <v>139</v>
      </c>
      <c r="H72" s="24" t="s">
        <v>37</v>
      </c>
      <c r="I72" s="84">
        <f t="shared" si="16"/>
        <v>92713</v>
      </c>
      <c r="J72" s="84"/>
      <c r="K72" s="128"/>
      <c r="L72" s="24"/>
    </row>
    <row r="73" spans="2:12" ht="12.75" customHeight="1" x14ac:dyDescent="0.2">
      <c r="B73" s="49"/>
      <c r="C73" s="24"/>
      <c r="D73" s="53"/>
      <c r="E73" s="24"/>
      <c r="F73" s="109">
        <f>SUM(F71:F72)</f>
        <v>1518000</v>
      </c>
      <c r="G73" s="84"/>
      <c r="H73" s="24"/>
      <c r="I73" s="109">
        <f>SUM(I71:I72)</f>
        <v>211002</v>
      </c>
      <c r="J73" s="102"/>
      <c r="K73" s="103"/>
      <c r="L73" s="24"/>
    </row>
    <row r="74" spans="2:12" ht="11.25" customHeight="1" x14ac:dyDescent="0.2">
      <c r="B74" s="49"/>
      <c r="C74" s="24"/>
      <c r="D74" s="53"/>
      <c r="E74" s="24"/>
      <c r="F74" s="84"/>
      <c r="G74" s="84"/>
      <c r="H74" s="24"/>
      <c r="I74" s="24"/>
      <c r="J74" s="24"/>
      <c r="K74" s="86"/>
      <c r="L74" s="24"/>
    </row>
    <row r="75" spans="2:12" ht="12.75" customHeight="1" x14ac:dyDescent="0.2">
      <c r="B75" s="49"/>
      <c r="C75" s="24"/>
      <c r="D75" s="24"/>
      <c r="E75" s="24"/>
      <c r="F75" s="84"/>
      <c r="G75" s="84"/>
      <c r="H75" s="24"/>
      <c r="I75" s="102"/>
      <c r="J75" s="102"/>
      <c r="K75" s="103"/>
      <c r="L75" s="24"/>
    </row>
    <row r="76" spans="2:12" ht="12.75" customHeight="1" x14ac:dyDescent="0.2">
      <c r="B76" s="104" t="s">
        <v>118</v>
      </c>
      <c r="C76" s="62" t="s">
        <v>119</v>
      </c>
      <c r="D76" s="106" t="s">
        <v>75</v>
      </c>
      <c r="E76" s="24" t="s">
        <v>255</v>
      </c>
      <c r="F76" s="84">
        <v>609840</v>
      </c>
      <c r="G76" s="84">
        <v>133631</v>
      </c>
      <c r="H76" s="24" t="s">
        <v>100</v>
      </c>
      <c r="I76" s="84">
        <f t="shared" ref="I76:I84" si="17">(F76*G76)/1000000</f>
        <v>81493.529039999994</v>
      </c>
      <c r="J76" s="84"/>
      <c r="K76" s="128"/>
      <c r="L76" s="24"/>
    </row>
    <row r="77" spans="2:12" ht="11.25" customHeight="1" x14ac:dyDescent="0.2">
      <c r="B77" s="49"/>
      <c r="C77" s="161" t="s">
        <v>121</v>
      </c>
      <c r="D77" s="106" t="s">
        <v>85</v>
      </c>
      <c r="E77" s="24" t="s">
        <v>255</v>
      </c>
      <c r="F77" s="84">
        <v>691824</v>
      </c>
      <c r="G77" s="84">
        <v>133470</v>
      </c>
      <c r="H77" s="24" t="s">
        <v>100</v>
      </c>
      <c r="I77" s="84">
        <f t="shared" si="17"/>
        <v>92337.749280000004</v>
      </c>
      <c r="J77" s="84"/>
      <c r="K77" s="128"/>
      <c r="L77" s="24"/>
    </row>
    <row r="78" spans="2:12" ht="11.25" customHeight="1" x14ac:dyDescent="0.2">
      <c r="B78" s="49"/>
      <c r="C78" s="161" t="s">
        <v>123</v>
      </c>
      <c r="D78" s="106" t="s">
        <v>137</v>
      </c>
      <c r="E78" s="24" t="s">
        <v>255</v>
      </c>
      <c r="F78" s="84">
        <v>862585</v>
      </c>
      <c r="G78" s="84">
        <v>132252</v>
      </c>
      <c r="H78" s="24" t="s">
        <v>100</v>
      </c>
      <c r="I78" s="84">
        <f t="shared" si="17"/>
        <v>114078.59142</v>
      </c>
      <c r="J78" s="84"/>
      <c r="K78" s="128"/>
      <c r="L78" s="24"/>
    </row>
    <row r="79" spans="2:12" ht="11.25" customHeight="1" x14ac:dyDescent="0.2">
      <c r="B79" s="49"/>
      <c r="C79" s="161" t="s">
        <v>262</v>
      </c>
      <c r="D79" s="106" t="s">
        <v>263</v>
      </c>
      <c r="E79" s="24" t="s">
        <v>255</v>
      </c>
      <c r="F79" s="84">
        <v>581096</v>
      </c>
      <c r="G79" s="84">
        <v>132424</v>
      </c>
      <c r="H79" s="24" t="s">
        <v>100</v>
      </c>
      <c r="I79" s="84">
        <f t="shared" si="17"/>
        <v>76951.056704000002</v>
      </c>
      <c r="J79" s="84"/>
      <c r="K79" s="128"/>
      <c r="L79" s="24"/>
    </row>
    <row r="80" spans="2:12" ht="12.75" customHeight="1" x14ac:dyDescent="0.2">
      <c r="B80" s="49"/>
      <c r="C80" s="161" t="s">
        <v>264</v>
      </c>
      <c r="D80" s="53" t="s">
        <v>265</v>
      </c>
      <c r="E80" s="24" t="s">
        <v>255</v>
      </c>
      <c r="F80" s="84">
        <v>255034</v>
      </c>
      <c r="G80" s="84">
        <v>132725</v>
      </c>
      <c r="H80" s="24" t="s">
        <v>100</v>
      </c>
      <c r="I80" s="102">
        <f t="shared" si="17"/>
        <v>33849.387649999997</v>
      </c>
      <c r="J80" s="107"/>
      <c r="K80" s="86"/>
      <c r="L80" s="24"/>
    </row>
    <row r="81" spans="2:12" ht="12.75" customHeight="1" x14ac:dyDescent="0.2">
      <c r="B81" s="49"/>
      <c r="C81" s="161" t="s">
        <v>267</v>
      </c>
      <c r="D81" s="106" t="s">
        <v>268</v>
      </c>
      <c r="E81" s="24" t="s">
        <v>255</v>
      </c>
      <c r="F81" s="84">
        <v>188951</v>
      </c>
      <c r="G81" s="84">
        <v>133243</v>
      </c>
      <c r="H81" s="24" t="s">
        <v>100</v>
      </c>
      <c r="I81" s="84">
        <f t="shared" si="17"/>
        <v>25176.398093</v>
      </c>
      <c r="J81" s="107">
        <v>13108</v>
      </c>
      <c r="K81" s="108">
        <v>1029</v>
      </c>
      <c r="L81" s="24"/>
    </row>
    <row r="82" spans="2:12" ht="11.25" customHeight="1" x14ac:dyDescent="0.2">
      <c r="B82" s="49"/>
      <c r="C82" s="161" t="s">
        <v>270</v>
      </c>
      <c r="D82" s="106" t="s">
        <v>271</v>
      </c>
      <c r="E82" s="24" t="s">
        <v>255</v>
      </c>
      <c r="F82" s="84">
        <v>116978</v>
      </c>
      <c r="G82" s="84">
        <v>135480</v>
      </c>
      <c r="H82" s="24" t="s">
        <v>100</v>
      </c>
      <c r="I82" s="84">
        <f t="shared" si="17"/>
        <v>15848.17944</v>
      </c>
      <c r="J82" s="84"/>
      <c r="K82" s="128"/>
      <c r="L82" s="24"/>
    </row>
    <row r="83" spans="2:12" ht="11.25" customHeight="1" x14ac:dyDescent="0.2">
      <c r="B83" s="49"/>
      <c r="C83" s="161" t="s">
        <v>273</v>
      </c>
      <c r="D83" s="106" t="s">
        <v>274</v>
      </c>
      <c r="E83" s="24" t="s">
        <v>255</v>
      </c>
      <c r="F83" s="84">
        <v>145371</v>
      </c>
      <c r="G83" s="84">
        <v>135572</v>
      </c>
      <c r="H83" s="24" t="s">
        <v>100</v>
      </c>
      <c r="I83" s="84">
        <f t="shared" si="17"/>
        <v>19708.237212</v>
      </c>
      <c r="J83" s="84"/>
      <c r="K83" s="128"/>
      <c r="L83" s="24"/>
    </row>
    <row r="84" spans="2:12" ht="11.25" customHeight="1" x14ac:dyDescent="0.2">
      <c r="B84" s="49"/>
      <c r="C84" s="161" t="s">
        <v>275</v>
      </c>
      <c r="D84" s="106" t="s">
        <v>276</v>
      </c>
      <c r="E84" s="24" t="s">
        <v>255</v>
      </c>
      <c r="F84" s="84">
        <v>136900</v>
      </c>
      <c r="G84" s="84">
        <v>134671</v>
      </c>
      <c r="H84" s="24" t="s">
        <v>100</v>
      </c>
      <c r="I84" s="84">
        <f t="shared" si="17"/>
        <v>18436.459900000002</v>
      </c>
      <c r="J84" s="84"/>
      <c r="K84" s="128"/>
      <c r="L84" s="24"/>
    </row>
    <row r="85" spans="2:12" ht="12.75" customHeight="1" x14ac:dyDescent="0.2">
      <c r="B85" s="49"/>
      <c r="C85" s="161" t="s">
        <v>279</v>
      </c>
      <c r="D85" s="106" t="s">
        <v>280</v>
      </c>
      <c r="E85" s="24" t="s">
        <v>255</v>
      </c>
      <c r="F85" s="84">
        <v>180983</v>
      </c>
      <c r="G85" s="84">
        <v>134133</v>
      </c>
      <c r="H85" s="24" t="s">
        <v>100</v>
      </c>
      <c r="I85" s="109">
        <f>SUM(I76:I84)</f>
        <v>477879.58873899997</v>
      </c>
      <c r="J85" s="102"/>
      <c r="K85" s="103"/>
      <c r="L85" s="24"/>
    </row>
    <row r="86" spans="2:12" ht="12.75" customHeight="1" x14ac:dyDescent="0.2">
      <c r="B86" s="49"/>
      <c r="C86" s="24"/>
      <c r="D86" s="24"/>
      <c r="E86" s="24"/>
      <c r="F86" s="109">
        <f>SUM(F76:F85)</f>
        <v>3769562</v>
      </c>
      <c r="G86" s="84"/>
      <c r="H86" s="24"/>
      <c r="I86" s="84"/>
      <c r="J86" s="84"/>
      <c r="K86" s="128"/>
      <c r="L86" s="24"/>
    </row>
    <row r="87" spans="2:12" ht="11.25" customHeight="1" x14ac:dyDescent="0.2">
      <c r="B87" s="49"/>
      <c r="C87" s="24"/>
      <c r="D87" s="24"/>
      <c r="E87" s="24"/>
      <c r="F87" s="84"/>
      <c r="G87" s="84"/>
      <c r="H87" s="24"/>
      <c r="I87" s="84"/>
      <c r="J87" s="84"/>
      <c r="K87" s="128"/>
      <c r="L87" s="24"/>
    </row>
    <row r="88" spans="2:12" ht="12.75" customHeight="1" x14ac:dyDescent="0.2">
      <c r="B88" s="104" t="s">
        <v>129</v>
      </c>
      <c r="C88" s="62" t="s">
        <v>130</v>
      </c>
      <c r="D88" s="24"/>
      <c r="E88" s="24"/>
      <c r="F88" s="84"/>
      <c r="G88" s="84"/>
      <c r="H88" s="24"/>
      <c r="I88" s="84"/>
      <c r="J88" s="84"/>
      <c r="K88" s="128"/>
      <c r="L88" s="24"/>
    </row>
    <row r="89" spans="2:12" ht="12.75" customHeight="1" x14ac:dyDescent="0.2">
      <c r="B89" s="49"/>
      <c r="C89" s="161" t="s">
        <v>285</v>
      </c>
      <c r="D89" s="24" t="s">
        <v>286</v>
      </c>
      <c r="E89" s="24" t="s">
        <v>258</v>
      </c>
      <c r="F89" s="84">
        <v>144000</v>
      </c>
      <c r="G89" s="84">
        <v>139</v>
      </c>
      <c r="H89" s="24" t="s">
        <v>243</v>
      </c>
      <c r="I89" s="109">
        <f>(F89*G89)/1000</f>
        <v>20016</v>
      </c>
      <c r="J89" s="84"/>
      <c r="K89" s="190"/>
      <c r="L89" s="24"/>
    </row>
    <row r="90" spans="2:12" ht="11.25" customHeight="1" x14ac:dyDescent="0.2">
      <c r="B90" s="49"/>
      <c r="C90" s="24"/>
      <c r="D90" s="24"/>
      <c r="E90" s="24"/>
      <c r="F90" s="84"/>
      <c r="G90" s="84"/>
      <c r="H90" s="24"/>
      <c r="I90" s="24"/>
      <c r="J90" s="24"/>
      <c r="K90" s="86"/>
      <c r="L90" s="24"/>
    </row>
    <row r="91" spans="2:12" ht="12.75" customHeight="1" x14ac:dyDescent="0.2">
      <c r="B91" s="104" t="s">
        <v>290</v>
      </c>
      <c r="C91" s="62" t="s">
        <v>253</v>
      </c>
      <c r="D91" s="24"/>
      <c r="E91" s="24"/>
      <c r="F91" s="84"/>
      <c r="G91" s="84"/>
      <c r="H91" s="24"/>
      <c r="I91" s="84"/>
      <c r="J91" s="84"/>
      <c r="K91" s="128"/>
      <c r="L91" s="24"/>
    </row>
    <row r="92" spans="2:12" ht="11.25" customHeight="1" x14ac:dyDescent="0.2">
      <c r="B92" s="49"/>
      <c r="C92" s="161" t="s">
        <v>291</v>
      </c>
      <c r="D92" s="90" t="s">
        <v>292</v>
      </c>
      <c r="E92" s="24" t="s">
        <v>258</v>
      </c>
      <c r="F92" s="84">
        <v>630000</v>
      </c>
      <c r="G92" s="84">
        <v>139</v>
      </c>
      <c r="H92" s="24" t="s">
        <v>243</v>
      </c>
      <c r="I92" s="84">
        <f t="shared" ref="I92:I96" si="18">(F92*G92)/1000</f>
        <v>87570</v>
      </c>
      <c r="J92" s="84"/>
      <c r="K92" s="128"/>
      <c r="L92" s="24"/>
    </row>
    <row r="93" spans="2:12" ht="12.75" customHeight="1" x14ac:dyDescent="0.2">
      <c r="B93" s="49"/>
      <c r="C93" s="161" t="s">
        <v>296</v>
      </c>
      <c r="D93" s="90" t="s">
        <v>68</v>
      </c>
      <c r="E93" s="24" t="s">
        <v>258</v>
      </c>
      <c r="F93" s="84">
        <v>972000</v>
      </c>
      <c r="G93" s="84">
        <v>139</v>
      </c>
      <c r="H93" s="24" t="s">
        <v>243</v>
      </c>
      <c r="I93" s="102">
        <f t="shared" si="18"/>
        <v>135108</v>
      </c>
      <c r="J93" s="107">
        <v>104981</v>
      </c>
      <c r="K93" s="108">
        <v>8241</v>
      </c>
      <c r="L93" s="24"/>
    </row>
    <row r="94" spans="2:12" ht="12.75" customHeight="1" x14ac:dyDescent="0.2">
      <c r="B94" s="49"/>
      <c r="C94" s="161" t="s">
        <v>298</v>
      </c>
      <c r="D94" s="90" t="s">
        <v>77</v>
      </c>
      <c r="E94" s="24" t="s">
        <v>258</v>
      </c>
      <c r="F94" s="84">
        <v>856000</v>
      </c>
      <c r="G94" s="84">
        <v>139</v>
      </c>
      <c r="H94" s="24" t="s">
        <v>243</v>
      </c>
      <c r="I94" s="102">
        <f t="shared" si="18"/>
        <v>118984</v>
      </c>
      <c r="J94" s="107">
        <v>108127</v>
      </c>
      <c r="K94" s="108">
        <v>8488</v>
      </c>
      <c r="L94" s="24"/>
    </row>
    <row r="95" spans="2:12" ht="12.75" customHeight="1" x14ac:dyDescent="0.2">
      <c r="B95" s="49"/>
      <c r="C95" s="161" t="s">
        <v>257</v>
      </c>
      <c r="D95" s="24" t="s">
        <v>82</v>
      </c>
      <c r="E95" s="24" t="s">
        <v>258</v>
      </c>
      <c r="F95" s="84">
        <v>743000</v>
      </c>
      <c r="G95" s="84">
        <v>139</v>
      </c>
      <c r="H95" s="24" t="s">
        <v>243</v>
      </c>
      <c r="I95" s="102">
        <f t="shared" si="18"/>
        <v>103277</v>
      </c>
      <c r="J95" s="107">
        <v>120981</v>
      </c>
      <c r="K95" s="108">
        <v>9497</v>
      </c>
      <c r="L95" s="24"/>
    </row>
    <row r="96" spans="2:12" ht="12.75" customHeight="1" x14ac:dyDescent="0.2">
      <c r="B96" s="49"/>
      <c r="C96" s="161" t="s">
        <v>301</v>
      </c>
      <c r="D96" s="90" t="s">
        <v>87</v>
      </c>
      <c r="E96" s="24" t="s">
        <v>258</v>
      </c>
      <c r="F96" s="84">
        <v>2000</v>
      </c>
      <c r="G96" s="84">
        <v>139</v>
      </c>
      <c r="H96" s="24" t="s">
        <v>243</v>
      </c>
      <c r="I96" s="102">
        <f t="shared" si="18"/>
        <v>278</v>
      </c>
      <c r="J96" s="191">
        <f t="shared" ref="J96:K96" si="19">SUM(J93:J95)</f>
        <v>334089</v>
      </c>
      <c r="K96" s="112">
        <f t="shared" si="19"/>
        <v>26226</v>
      </c>
      <c r="L96" s="24"/>
    </row>
    <row r="97" spans="2:12" ht="12.75" customHeight="1" x14ac:dyDescent="0.2">
      <c r="B97" s="49"/>
      <c r="C97" s="24"/>
      <c r="D97" s="24"/>
      <c r="E97" s="24"/>
      <c r="F97" s="109">
        <f>SUM(F92:F96)</f>
        <v>3203000</v>
      </c>
      <c r="G97" s="84"/>
      <c r="H97" s="24"/>
      <c r="I97" s="109">
        <f>SUM(I92:I96)</f>
        <v>445217</v>
      </c>
      <c r="J97" s="84"/>
      <c r="K97" s="128"/>
      <c r="L97" s="24"/>
    </row>
    <row r="98" spans="2:12" ht="12.75" customHeight="1" x14ac:dyDescent="0.2">
      <c r="B98" s="104" t="s">
        <v>142</v>
      </c>
      <c r="C98" s="62" t="s">
        <v>143</v>
      </c>
      <c r="E98" s="24"/>
      <c r="F98" s="84"/>
      <c r="G98" s="84"/>
      <c r="H98" s="24"/>
      <c r="I98" s="24"/>
      <c r="J98" s="24"/>
      <c r="K98" s="86"/>
      <c r="L98" s="24"/>
    </row>
    <row r="99" spans="2:12" ht="11.25" customHeight="1" x14ac:dyDescent="0.2">
      <c r="B99" s="49"/>
      <c r="C99" s="161" t="s">
        <v>146</v>
      </c>
      <c r="D99" s="90" t="s">
        <v>147</v>
      </c>
      <c r="E99" s="24" t="s">
        <v>242</v>
      </c>
      <c r="F99" s="84">
        <v>4439283.7</v>
      </c>
      <c r="G99" s="84">
        <v>141000</v>
      </c>
      <c r="H99" s="24" t="s">
        <v>309</v>
      </c>
      <c r="I99" s="84">
        <f t="shared" ref="I99:I100" si="20">(F99*G99)/1000000</f>
        <v>625939.00170000002</v>
      </c>
      <c r="J99" s="84"/>
      <c r="K99" s="128"/>
      <c r="L99" s="24"/>
    </row>
    <row r="100" spans="2:12" ht="11.25" customHeight="1" x14ac:dyDescent="0.2">
      <c r="B100" s="49"/>
      <c r="C100" s="161" t="s">
        <v>151</v>
      </c>
      <c r="D100" s="90" t="s">
        <v>152</v>
      </c>
      <c r="E100" s="24" t="s">
        <v>242</v>
      </c>
      <c r="F100" s="84">
        <v>4498304.96</v>
      </c>
      <c r="G100" s="84">
        <v>141000</v>
      </c>
      <c r="H100" s="24" t="s">
        <v>309</v>
      </c>
      <c r="I100" s="84">
        <f t="shared" si="20"/>
        <v>634260.99936000002</v>
      </c>
      <c r="J100" s="84"/>
      <c r="K100" s="128"/>
      <c r="L100" s="24"/>
    </row>
    <row r="101" spans="2:12" ht="12.75" customHeight="1" x14ac:dyDescent="0.2">
      <c r="B101" s="49"/>
      <c r="C101" s="24"/>
      <c r="D101" s="24"/>
      <c r="E101" s="24"/>
      <c r="F101" s="109">
        <f>SUM(F99:F100)</f>
        <v>8937588.6600000001</v>
      </c>
      <c r="G101" s="84"/>
      <c r="H101" s="24"/>
      <c r="I101" s="109">
        <f>SUM(I99:I100)</f>
        <v>1260200.0010600002</v>
      </c>
      <c r="J101" s="25"/>
      <c r="K101" s="198"/>
      <c r="L101" s="24"/>
    </row>
    <row r="102" spans="2:12" ht="12.75" customHeight="1" x14ac:dyDescent="0.2">
      <c r="B102" s="104" t="s">
        <v>323</v>
      </c>
      <c r="C102" s="62" t="s">
        <v>233</v>
      </c>
      <c r="D102" s="24"/>
      <c r="E102" s="24"/>
      <c r="F102" s="84"/>
      <c r="G102" s="84"/>
      <c r="H102" s="24"/>
      <c r="I102" s="24"/>
      <c r="J102" s="24"/>
      <c r="K102" s="86"/>
      <c r="L102" s="24"/>
    </row>
    <row r="103" spans="2:12" ht="12.75" customHeight="1" x14ac:dyDescent="0.2">
      <c r="B103" s="49"/>
      <c r="C103" s="161" t="s">
        <v>240</v>
      </c>
      <c r="D103" s="24" t="s">
        <v>241</v>
      </c>
      <c r="E103" s="24" t="s">
        <v>242</v>
      </c>
      <c r="F103" s="84">
        <v>202000</v>
      </c>
      <c r="G103" s="84">
        <v>139</v>
      </c>
      <c r="H103" s="199" t="s">
        <v>243</v>
      </c>
      <c r="I103" s="84">
        <f t="shared" ref="I103:I104" si="21">(F103*G103)/1000</f>
        <v>28078</v>
      </c>
      <c r="J103" s="84"/>
      <c r="K103" s="190"/>
      <c r="L103" s="24"/>
    </row>
    <row r="104" spans="2:12" ht="12.75" customHeight="1" x14ac:dyDescent="0.2">
      <c r="B104" s="49"/>
      <c r="C104" s="161" t="s">
        <v>248</v>
      </c>
      <c r="D104" s="24" t="s">
        <v>249</v>
      </c>
      <c r="E104" s="24" t="s">
        <v>242</v>
      </c>
      <c r="F104" s="84">
        <v>236000</v>
      </c>
      <c r="G104" s="84">
        <v>139</v>
      </c>
      <c r="H104" s="199" t="s">
        <v>243</v>
      </c>
      <c r="I104" s="84">
        <f t="shared" si="21"/>
        <v>32804</v>
      </c>
      <c r="J104" s="84"/>
      <c r="K104" s="190"/>
      <c r="L104" s="24"/>
    </row>
    <row r="105" spans="2:12" ht="12.75" customHeight="1" x14ac:dyDescent="0.2">
      <c r="B105" s="49"/>
      <c r="C105" s="24"/>
      <c r="D105" s="24"/>
      <c r="E105" s="199"/>
      <c r="F105" s="109">
        <f>SUM(F103:F104)</f>
        <v>438000</v>
      </c>
      <c r="G105" s="84"/>
      <c r="H105" s="199"/>
      <c r="I105" s="109">
        <f>SUM(I103:I104)</f>
        <v>60882</v>
      </c>
      <c r="J105" s="84"/>
      <c r="K105" s="128"/>
      <c r="L105" s="24"/>
    </row>
    <row r="106" spans="2:12" ht="11.25" customHeight="1" x14ac:dyDescent="0.2">
      <c r="B106" s="49"/>
      <c r="C106" s="24"/>
      <c r="D106" s="24"/>
      <c r="E106" s="199"/>
      <c r="F106" s="84"/>
      <c r="G106" s="84"/>
      <c r="H106" s="199"/>
      <c r="I106" s="84"/>
      <c r="J106" s="84"/>
      <c r="K106" s="128"/>
      <c r="L106" s="24"/>
    </row>
    <row r="107" spans="2:12" ht="12.75" customHeight="1" x14ac:dyDescent="0.2">
      <c r="B107" s="104" t="s">
        <v>337</v>
      </c>
      <c r="C107" s="62" t="s">
        <v>338</v>
      </c>
      <c r="D107" s="24"/>
      <c r="E107" s="199"/>
      <c r="F107" s="84"/>
      <c r="G107" s="84"/>
      <c r="H107" s="199"/>
      <c r="I107" s="84"/>
      <c r="J107" s="84"/>
      <c r="K107" s="128"/>
      <c r="L107" s="24"/>
    </row>
    <row r="108" spans="2:12" ht="12.75" customHeight="1" x14ac:dyDescent="0.2">
      <c r="B108" s="49"/>
      <c r="C108" s="161" t="s">
        <v>340</v>
      </c>
      <c r="D108" s="90" t="s">
        <v>341</v>
      </c>
      <c r="E108" s="24" t="s">
        <v>242</v>
      </c>
      <c r="F108" s="109">
        <v>82113</v>
      </c>
      <c r="G108" s="84">
        <v>138097</v>
      </c>
      <c r="H108" s="24" t="s">
        <v>342</v>
      </c>
      <c r="I108" s="109">
        <f>(F108*G108)/1000000</f>
        <v>11339.558961000001</v>
      </c>
      <c r="J108" s="84"/>
      <c r="K108" s="128"/>
      <c r="L108" s="24"/>
    </row>
    <row r="109" spans="2:12" ht="11.25" customHeight="1" x14ac:dyDescent="0.2">
      <c r="B109" s="49"/>
      <c r="C109" s="24"/>
      <c r="D109" s="24"/>
      <c r="E109" s="199"/>
      <c r="F109" s="84"/>
      <c r="G109" s="84"/>
      <c r="H109" s="199"/>
      <c r="I109" s="84"/>
      <c r="J109" s="84"/>
      <c r="K109" s="128"/>
      <c r="L109" s="24"/>
    </row>
    <row r="110" spans="2:12" ht="12.75" customHeight="1" x14ac:dyDescent="0.2">
      <c r="B110" s="104" t="s">
        <v>160</v>
      </c>
      <c r="C110" s="136" t="s">
        <v>161</v>
      </c>
      <c r="D110" s="24"/>
      <c r="E110" s="24"/>
      <c r="F110" s="84"/>
      <c r="G110" s="84"/>
      <c r="H110" s="24"/>
      <c r="I110" s="24"/>
      <c r="J110" s="24"/>
      <c r="K110" s="86"/>
      <c r="L110" s="24"/>
    </row>
    <row r="111" spans="2:12" ht="11.25" customHeight="1" x14ac:dyDescent="0.2">
      <c r="B111" s="49"/>
      <c r="C111" s="161" t="s">
        <v>163</v>
      </c>
      <c r="D111" s="106" t="s">
        <v>164</v>
      </c>
      <c r="E111" s="24" t="s">
        <v>242</v>
      </c>
      <c r="F111" s="84">
        <v>202101</v>
      </c>
      <c r="G111" s="84">
        <v>139181</v>
      </c>
      <c r="H111" s="24" t="s">
        <v>100</v>
      </c>
      <c r="I111" s="84">
        <f t="shared" ref="I111:I113" si="22">(F111*G111)/1000000</f>
        <v>28128.619280999999</v>
      </c>
      <c r="J111" s="84"/>
      <c r="K111" s="128"/>
      <c r="L111" s="24"/>
    </row>
    <row r="112" spans="2:12" ht="11.25" customHeight="1" x14ac:dyDescent="0.2">
      <c r="B112" s="49"/>
      <c r="C112" s="161" t="s">
        <v>168</v>
      </c>
      <c r="D112" s="106" t="s">
        <v>169</v>
      </c>
      <c r="E112" s="24" t="s">
        <v>242</v>
      </c>
      <c r="F112" s="84">
        <v>355692</v>
      </c>
      <c r="G112" s="84">
        <v>139181</v>
      </c>
      <c r="H112" s="24" t="s">
        <v>100</v>
      </c>
      <c r="I112" s="84">
        <f t="shared" si="22"/>
        <v>49505.568251999997</v>
      </c>
      <c r="J112" s="84"/>
      <c r="K112" s="128"/>
      <c r="L112" s="24"/>
    </row>
    <row r="113" spans="2:12" ht="11.25" customHeight="1" x14ac:dyDescent="0.2">
      <c r="B113" s="49"/>
      <c r="C113" s="161" t="s">
        <v>170</v>
      </c>
      <c r="D113" s="106" t="s">
        <v>171</v>
      </c>
      <c r="E113" s="24" t="s">
        <v>242</v>
      </c>
      <c r="F113" s="84">
        <v>243688</v>
      </c>
      <c r="G113" s="84">
        <v>139181</v>
      </c>
      <c r="H113" s="24" t="s">
        <v>100</v>
      </c>
      <c r="I113" s="84">
        <f t="shared" si="22"/>
        <v>33916.739527999998</v>
      </c>
      <c r="J113" s="84"/>
      <c r="K113" s="128"/>
      <c r="L113" s="24"/>
    </row>
    <row r="114" spans="2:12" ht="12.75" customHeight="1" x14ac:dyDescent="0.2">
      <c r="B114" s="49"/>
      <c r="C114" s="24"/>
      <c r="D114" s="24"/>
      <c r="E114" s="24"/>
      <c r="F114" s="109">
        <f>SUM(F111:F113)</f>
        <v>801481</v>
      </c>
      <c r="G114" s="84"/>
      <c r="H114" s="24"/>
      <c r="I114" s="109">
        <f>SUM(I111:I113)</f>
        <v>111550.92706099999</v>
      </c>
      <c r="J114" s="102"/>
      <c r="K114" s="103"/>
      <c r="L114" s="24"/>
    </row>
    <row r="115" spans="2:12" ht="11.25" customHeight="1" x14ac:dyDescent="0.2">
      <c r="B115" s="49"/>
      <c r="C115" s="24"/>
      <c r="D115" s="24"/>
      <c r="E115" s="24"/>
      <c r="F115" s="84"/>
      <c r="G115" s="84"/>
      <c r="H115" s="24"/>
      <c r="I115" s="84"/>
      <c r="J115" s="84"/>
      <c r="K115" s="128"/>
      <c r="L115" s="24"/>
    </row>
    <row r="116" spans="2:12" ht="11.25" customHeight="1" x14ac:dyDescent="0.2">
      <c r="B116" s="49"/>
      <c r="C116" s="24"/>
      <c r="D116" s="53"/>
      <c r="E116" s="24"/>
      <c r="F116" s="84"/>
      <c r="G116" s="84"/>
      <c r="H116" s="24"/>
      <c r="I116" s="84"/>
      <c r="J116" s="84"/>
      <c r="K116" s="128"/>
      <c r="L116" s="24"/>
    </row>
    <row r="117" spans="2:12" ht="12.75" customHeight="1" x14ac:dyDescent="0.2">
      <c r="B117" s="49" t="s">
        <v>349</v>
      </c>
      <c r="C117" s="136" t="s">
        <v>350</v>
      </c>
      <c r="D117" s="53"/>
      <c r="E117" s="24"/>
      <c r="F117" s="84"/>
      <c r="G117" s="84"/>
      <c r="H117" s="24"/>
      <c r="I117" s="84"/>
      <c r="J117" s="84"/>
      <c r="K117" s="128"/>
      <c r="L117" s="24"/>
    </row>
    <row r="118" spans="2:12" ht="11.25" customHeight="1" x14ac:dyDescent="0.2">
      <c r="B118" s="49"/>
      <c r="C118" s="161" t="s">
        <v>352</v>
      </c>
      <c r="D118" s="53" t="s">
        <v>353</v>
      </c>
      <c r="E118" s="24" t="s">
        <v>242</v>
      </c>
      <c r="F118" s="84">
        <v>114941</v>
      </c>
      <c r="G118" s="84">
        <v>139181</v>
      </c>
      <c r="H118" s="24" t="s">
        <v>100</v>
      </c>
      <c r="I118" s="84">
        <f t="shared" ref="I118:I119" si="23">(F118*G118)/1000000</f>
        <v>15997.603321000001</v>
      </c>
      <c r="J118" s="84"/>
      <c r="K118" s="128"/>
      <c r="L118" s="24"/>
    </row>
    <row r="119" spans="2:12" ht="11.25" customHeight="1" x14ac:dyDescent="0.2">
      <c r="B119" s="49"/>
      <c r="C119" s="161" t="s">
        <v>359</v>
      </c>
      <c r="D119" s="53" t="s">
        <v>360</v>
      </c>
      <c r="E119" s="24" t="s">
        <v>242</v>
      </c>
      <c r="F119" s="84">
        <v>258154</v>
      </c>
      <c r="G119" s="84">
        <v>139181</v>
      </c>
      <c r="H119" s="24" t="s">
        <v>100</v>
      </c>
      <c r="I119" s="84">
        <f t="shared" si="23"/>
        <v>35930.131873999999</v>
      </c>
      <c r="J119" s="84"/>
      <c r="K119" s="128"/>
      <c r="L119" s="24"/>
    </row>
    <row r="120" spans="2:12" ht="12.75" customHeight="1" x14ac:dyDescent="0.2">
      <c r="B120" s="49"/>
      <c r="C120" s="24"/>
      <c r="D120" s="24"/>
      <c r="E120" s="24"/>
      <c r="F120" s="84">
        <f>SUM(F118:F119)</f>
        <v>373095</v>
      </c>
      <c r="G120" s="84"/>
      <c r="H120" s="24"/>
      <c r="I120" s="109">
        <f>SUM(I118:I119)</f>
        <v>51927.735195000001</v>
      </c>
      <c r="J120" s="24"/>
      <c r="K120" s="86"/>
      <c r="L120" s="24"/>
    </row>
    <row r="121" spans="2:12" ht="12.75" customHeight="1" x14ac:dyDescent="0.2">
      <c r="B121" s="49" t="s">
        <v>176</v>
      </c>
      <c r="C121" s="136" t="s">
        <v>178</v>
      </c>
      <c r="D121" s="24"/>
      <c r="E121" s="24"/>
      <c r="F121" s="84"/>
      <c r="G121" s="84"/>
      <c r="H121" s="24"/>
      <c r="I121" s="24"/>
      <c r="J121" s="24"/>
      <c r="K121" s="86"/>
      <c r="L121" s="24"/>
    </row>
    <row r="122" spans="2:12" ht="12.75" customHeight="1" x14ac:dyDescent="0.2">
      <c r="B122" s="49"/>
      <c r="C122" s="161" t="s">
        <v>371</v>
      </c>
      <c r="D122" s="106" t="s">
        <v>372</v>
      </c>
      <c r="E122" s="24" t="s">
        <v>373</v>
      </c>
      <c r="F122" s="84">
        <v>566623</v>
      </c>
      <c r="G122" s="84">
        <v>138840</v>
      </c>
      <c r="H122" s="24" t="s">
        <v>374</v>
      </c>
      <c r="I122" s="102">
        <f t="shared" ref="I122:I124" si="24">(F122*G122)/1000000</f>
        <v>78669.937319999997</v>
      </c>
      <c r="J122" s="107">
        <v>128286</v>
      </c>
      <c r="K122" s="108">
        <v>13156</v>
      </c>
      <c r="L122" s="24"/>
    </row>
    <row r="123" spans="2:12" ht="12.75" customHeight="1" x14ac:dyDescent="0.2">
      <c r="B123" s="49"/>
      <c r="C123" s="161" t="s">
        <v>376</v>
      </c>
      <c r="D123" s="106" t="s">
        <v>378</v>
      </c>
      <c r="E123" s="24" t="s">
        <v>373</v>
      </c>
      <c r="F123" s="84">
        <v>741105</v>
      </c>
      <c r="G123" s="84">
        <v>138840</v>
      </c>
      <c r="H123" s="24" t="s">
        <v>374</v>
      </c>
      <c r="I123" s="102">
        <f t="shared" si="24"/>
        <v>102895.01820000001</v>
      </c>
      <c r="J123" s="107">
        <v>159490</v>
      </c>
      <c r="K123" s="108">
        <v>16356</v>
      </c>
      <c r="L123" s="24"/>
    </row>
    <row r="124" spans="2:12" ht="12.75" customHeight="1" x14ac:dyDescent="0.2">
      <c r="B124" s="49"/>
      <c r="C124" s="161" t="s">
        <v>380</v>
      </c>
      <c r="D124" s="106" t="s">
        <v>381</v>
      </c>
      <c r="E124" s="24" t="s">
        <v>373</v>
      </c>
      <c r="F124" s="84">
        <v>671219</v>
      </c>
      <c r="G124" s="84">
        <v>138840</v>
      </c>
      <c r="H124" s="24" t="s">
        <v>374</v>
      </c>
      <c r="I124" s="102">
        <f t="shared" si="24"/>
        <v>93192.045960000003</v>
      </c>
      <c r="J124" s="107">
        <v>142572</v>
      </c>
      <c r="K124" s="108">
        <v>14621</v>
      </c>
      <c r="L124" s="24"/>
    </row>
    <row r="125" spans="2:12" ht="12.75" customHeight="1" x14ac:dyDescent="0.2">
      <c r="B125" s="49"/>
      <c r="C125" s="24"/>
      <c r="D125" s="53"/>
      <c r="E125" s="24"/>
      <c r="F125" s="109">
        <f>SUM(F122:F124)</f>
        <v>1978947</v>
      </c>
      <c r="G125" s="84"/>
      <c r="H125" s="24"/>
      <c r="I125" s="109">
        <f t="shared" ref="I125:K125" si="25">SUM(I122:I124)</f>
        <v>274757.00148000004</v>
      </c>
      <c r="J125" s="109">
        <f t="shared" si="25"/>
        <v>430348</v>
      </c>
      <c r="K125" s="112">
        <f t="shared" si="25"/>
        <v>44133</v>
      </c>
      <c r="L125" s="24"/>
    </row>
    <row r="126" spans="2:12" ht="11.25" customHeight="1" x14ac:dyDescent="0.2">
      <c r="B126" s="49"/>
      <c r="C126" s="24"/>
      <c r="D126" s="24"/>
      <c r="E126" s="24"/>
      <c r="F126" s="84"/>
      <c r="G126" s="84"/>
      <c r="H126" s="24"/>
      <c r="I126" s="24"/>
      <c r="J126" s="24"/>
      <c r="K126" s="128"/>
      <c r="L126" s="24"/>
    </row>
    <row r="127" spans="2:12" ht="11.25" customHeight="1" x14ac:dyDescent="0.2">
      <c r="B127" s="49"/>
      <c r="C127" s="24"/>
      <c r="D127" s="24"/>
      <c r="E127" s="24"/>
      <c r="F127" s="84"/>
      <c r="G127" s="84"/>
      <c r="H127" s="24"/>
      <c r="I127" s="24"/>
      <c r="J127" s="24"/>
      <c r="K127" s="128"/>
      <c r="L127" s="24"/>
    </row>
    <row r="128" spans="2:12" ht="12.75" customHeight="1" x14ac:dyDescent="0.2">
      <c r="B128" s="221" t="s">
        <v>384</v>
      </c>
      <c r="C128" s="62" t="s">
        <v>385</v>
      </c>
      <c r="D128" s="24"/>
      <c r="F128" s="24"/>
      <c r="G128" s="84"/>
      <c r="H128" s="24"/>
      <c r="I128" s="24"/>
      <c r="J128" s="24"/>
      <c r="K128" s="128"/>
      <c r="L128" s="24"/>
    </row>
    <row r="129" spans="2:12" ht="12.75" customHeight="1" x14ac:dyDescent="0.2">
      <c r="B129" s="49">
        <v>10200203</v>
      </c>
      <c r="C129" s="161" t="s">
        <v>387</v>
      </c>
      <c r="D129" s="90" t="s">
        <v>389</v>
      </c>
      <c r="E129" s="24" t="s">
        <v>242</v>
      </c>
      <c r="F129" s="84"/>
      <c r="G129" s="84"/>
      <c r="H129" s="24"/>
      <c r="I129" s="24"/>
      <c r="J129" s="107">
        <v>35410.726068730211</v>
      </c>
      <c r="K129" s="108">
        <v>2871.6388218339957</v>
      </c>
      <c r="L129" s="24"/>
    </row>
    <row r="130" spans="2:12" ht="11.25" customHeight="1" x14ac:dyDescent="0.2">
      <c r="B130" s="49"/>
      <c r="C130" s="24"/>
      <c r="D130" s="24"/>
      <c r="E130" s="24"/>
      <c r="F130" s="84"/>
      <c r="G130" s="84"/>
      <c r="H130" s="24"/>
      <c r="I130" s="24"/>
      <c r="J130" s="24"/>
      <c r="K130" s="128"/>
      <c r="L130" s="24"/>
    </row>
    <row r="131" spans="2:12" ht="12.75" customHeight="1" x14ac:dyDescent="0.2">
      <c r="B131" s="49"/>
      <c r="C131" s="24"/>
      <c r="D131" s="24"/>
      <c r="E131" s="24"/>
      <c r="F131" s="24"/>
      <c r="G131" s="24"/>
      <c r="H131" s="1767" t="s">
        <v>393</v>
      </c>
      <c r="I131" s="1766"/>
      <c r="J131" s="97">
        <f t="shared" ref="J131:K131" si="26">J129+J125+J96+J81</f>
        <v>812955.72606873023</v>
      </c>
      <c r="K131" s="98">
        <f t="shared" si="26"/>
        <v>74259.638821834</v>
      </c>
      <c r="L131" s="24"/>
    </row>
    <row r="132" spans="2:12" ht="11.25" customHeight="1" x14ac:dyDescent="0.2">
      <c r="B132" s="49"/>
      <c r="C132" s="24"/>
      <c r="D132" s="24"/>
      <c r="E132" s="24"/>
      <c r="F132" s="24"/>
      <c r="G132" s="24"/>
      <c r="H132" s="24"/>
      <c r="I132" s="24"/>
      <c r="J132" s="24"/>
      <c r="K132" s="86"/>
      <c r="L132" s="24"/>
    </row>
    <row r="133" spans="2:12" ht="12.75" customHeight="1" x14ac:dyDescent="0.2">
      <c r="B133" s="221" t="s">
        <v>323</v>
      </c>
      <c r="C133" s="221" t="s">
        <v>233</v>
      </c>
      <c r="D133" s="24"/>
      <c r="E133" s="24"/>
      <c r="F133" s="84"/>
      <c r="G133" s="84"/>
      <c r="H133" s="24"/>
      <c r="I133" s="24"/>
      <c r="J133" s="24"/>
      <c r="K133" s="86"/>
      <c r="L133" s="24"/>
    </row>
    <row r="134" spans="2:12" ht="12.75" customHeight="1" x14ac:dyDescent="0.2">
      <c r="C134" s="161" t="s">
        <v>400</v>
      </c>
      <c r="D134" s="90" t="s">
        <v>402</v>
      </c>
      <c r="E134" s="222" t="s">
        <v>403</v>
      </c>
      <c r="F134" s="109">
        <v>64000</v>
      </c>
      <c r="G134" s="84">
        <v>132</v>
      </c>
      <c r="H134" s="199" t="s">
        <v>243</v>
      </c>
      <c r="I134" s="109">
        <f>(F134*G134)/1000</f>
        <v>8448</v>
      </c>
      <c r="J134" s="107">
        <v>318364</v>
      </c>
      <c r="K134" s="98">
        <v>17510</v>
      </c>
      <c r="L134" s="24"/>
    </row>
    <row r="135" spans="2:12" ht="12" customHeight="1" x14ac:dyDescent="0.2">
      <c r="B135" s="154"/>
      <c r="C135" s="155"/>
      <c r="D135" s="155"/>
      <c r="E135" s="155"/>
      <c r="F135" s="155"/>
      <c r="G135" s="155"/>
      <c r="H135" s="155"/>
      <c r="I135" s="155"/>
      <c r="J135" s="155"/>
      <c r="K135" s="156"/>
      <c r="L135" s="24"/>
    </row>
    <row r="136" spans="2:12" ht="12" customHeight="1" x14ac:dyDescent="0.2">
      <c r="L136" s="24"/>
    </row>
    <row r="137" spans="2:12" ht="12" customHeight="1" x14ac:dyDescent="0.2">
      <c r="L137" s="24"/>
    </row>
    <row r="138" spans="2:12" ht="13.5" customHeight="1" x14ac:dyDescent="0.2">
      <c r="B138" s="26"/>
      <c r="C138" s="31"/>
      <c r="D138" s="31"/>
      <c r="E138" s="157" t="s">
        <v>408</v>
      </c>
      <c r="F138" s="31"/>
      <c r="G138" s="31"/>
      <c r="H138" s="31"/>
      <c r="I138" s="31"/>
      <c r="J138" s="31"/>
      <c r="K138" s="28"/>
      <c r="L138" s="24"/>
    </row>
    <row r="139" spans="2:12" ht="12.75" customHeight="1" x14ac:dyDescent="0.2">
      <c r="B139" s="49"/>
      <c r="C139" s="24"/>
      <c r="D139" s="24"/>
      <c r="E139" s="24"/>
      <c r="F139" s="24"/>
      <c r="G139" s="24"/>
      <c r="H139" s="158"/>
      <c r="I139" s="158"/>
      <c r="J139" s="24"/>
      <c r="K139" s="86"/>
      <c r="L139" s="24"/>
    </row>
    <row r="140" spans="2:12" ht="14.25" customHeight="1" x14ac:dyDescent="0.25">
      <c r="B140" s="49" t="s">
        <v>30</v>
      </c>
      <c r="C140" s="24" t="s">
        <v>17</v>
      </c>
      <c r="D140" s="24" t="s">
        <v>19</v>
      </c>
      <c r="E140" s="24" t="s">
        <v>20</v>
      </c>
      <c r="F140" s="24" t="s">
        <v>21</v>
      </c>
      <c r="G140" s="24" t="s">
        <v>22</v>
      </c>
      <c r="H140" s="24" t="s">
        <v>23</v>
      </c>
      <c r="I140" s="24" t="s">
        <v>24</v>
      </c>
      <c r="J140" s="57" t="s">
        <v>38</v>
      </c>
      <c r="K140" s="60" t="s">
        <v>411</v>
      </c>
      <c r="L140" s="24"/>
    </row>
    <row r="141" spans="2:12" ht="12.75" customHeight="1" x14ac:dyDescent="0.2">
      <c r="B141" s="49"/>
      <c r="C141" s="24"/>
      <c r="D141" s="24"/>
      <c r="E141" s="24"/>
      <c r="F141" s="24"/>
      <c r="G141" s="24"/>
      <c r="H141" s="24"/>
      <c r="I141" s="24"/>
      <c r="J141" s="65" t="s">
        <v>43</v>
      </c>
      <c r="K141" s="164" t="s">
        <v>41</v>
      </c>
      <c r="L141" s="24"/>
    </row>
    <row r="142" spans="2:12" ht="12.75" customHeight="1" x14ac:dyDescent="0.2">
      <c r="B142" s="49"/>
      <c r="C142" s="24"/>
      <c r="D142" s="24"/>
      <c r="E142" s="24"/>
      <c r="F142" s="84"/>
      <c r="G142" s="24"/>
      <c r="H142" s="84"/>
      <c r="I142" s="24"/>
      <c r="J142" s="84"/>
      <c r="K142" s="166" t="s">
        <v>51</v>
      </c>
      <c r="L142" s="24"/>
    </row>
    <row r="143" spans="2:12" ht="12.75" customHeight="1" x14ac:dyDescent="0.2">
      <c r="B143" s="104" t="s">
        <v>118</v>
      </c>
      <c r="C143" s="62" t="s">
        <v>119</v>
      </c>
      <c r="D143" s="24"/>
      <c r="E143" s="24"/>
      <c r="F143" s="84"/>
      <c r="G143" s="24"/>
      <c r="H143" s="84"/>
      <c r="I143" s="24"/>
      <c r="J143" s="102"/>
      <c r="K143" s="86"/>
      <c r="L143" s="24"/>
    </row>
    <row r="144" spans="2:12" ht="11.25" customHeight="1" x14ac:dyDescent="0.2">
      <c r="B144" s="49"/>
      <c r="C144" s="24"/>
      <c r="D144" s="24"/>
      <c r="E144" s="24"/>
      <c r="F144" s="84"/>
      <c r="G144" s="24"/>
      <c r="H144" s="84"/>
      <c r="I144" s="24"/>
      <c r="J144" s="84"/>
      <c r="K144" s="86"/>
      <c r="L144" s="24"/>
    </row>
    <row r="145" spans="2:12" ht="11.25" customHeight="1" x14ac:dyDescent="0.2">
      <c r="B145" s="49"/>
      <c r="C145" s="24" t="s">
        <v>262</v>
      </c>
      <c r="D145" s="106" t="s">
        <v>137</v>
      </c>
      <c r="E145" s="24" t="s">
        <v>416</v>
      </c>
      <c r="F145" s="84">
        <v>7447756</v>
      </c>
      <c r="G145" s="24" t="s">
        <v>35</v>
      </c>
      <c r="H145" s="84">
        <v>151500</v>
      </c>
      <c r="I145" s="24" t="s">
        <v>100</v>
      </c>
      <c r="J145" s="84"/>
      <c r="K145" s="86"/>
      <c r="L145" s="24"/>
    </row>
    <row r="146" spans="2:12" ht="11.25" customHeight="1" x14ac:dyDescent="0.2">
      <c r="B146" s="49"/>
      <c r="C146" s="24" t="s">
        <v>264</v>
      </c>
      <c r="D146" s="106" t="s">
        <v>263</v>
      </c>
      <c r="E146" s="24" t="s">
        <v>416</v>
      </c>
      <c r="F146" s="84">
        <v>468556</v>
      </c>
      <c r="G146" s="24" t="s">
        <v>35</v>
      </c>
      <c r="H146" s="84">
        <v>151650</v>
      </c>
      <c r="I146" s="24" t="s">
        <v>100</v>
      </c>
      <c r="J146" s="84"/>
      <c r="K146" s="86"/>
      <c r="L146" s="24"/>
    </row>
    <row r="147" spans="2:12" ht="12.75" customHeight="1" x14ac:dyDescent="0.2">
      <c r="B147" s="49"/>
      <c r="C147" s="24"/>
      <c r="D147" s="106"/>
      <c r="E147" s="24"/>
      <c r="F147" s="109">
        <f>SUM(F145:F146)</f>
        <v>7916312</v>
      </c>
      <c r="G147" s="24"/>
      <c r="H147" s="84"/>
      <c r="I147" s="24"/>
      <c r="J147" s="84"/>
      <c r="K147" s="86"/>
      <c r="L147" s="24"/>
    </row>
    <row r="148" spans="2:12" ht="11.25" customHeight="1" x14ac:dyDescent="0.2">
      <c r="B148" s="49"/>
      <c r="C148" s="24"/>
      <c r="D148" s="106"/>
      <c r="E148" s="24"/>
      <c r="F148" s="84"/>
      <c r="G148" s="24"/>
      <c r="H148" s="84"/>
      <c r="I148" s="24"/>
      <c r="J148" s="84"/>
      <c r="K148" s="86"/>
      <c r="L148" s="24"/>
    </row>
    <row r="149" spans="2:12" ht="12.75" customHeight="1" x14ac:dyDescent="0.2">
      <c r="B149" s="104" t="s">
        <v>129</v>
      </c>
      <c r="C149" s="62" t="s">
        <v>130</v>
      </c>
      <c r="D149" s="24"/>
      <c r="E149" s="24"/>
      <c r="F149" s="84"/>
      <c r="G149" s="24"/>
      <c r="H149" s="84"/>
      <c r="I149" s="24"/>
      <c r="J149" s="84"/>
      <c r="K149" s="86"/>
      <c r="L149" s="24"/>
    </row>
    <row r="150" spans="2:12" ht="11.25" customHeight="1" x14ac:dyDescent="0.2">
      <c r="B150" s="49"/>
      <c r="C150" s="24" t="s">
        <v>423</v>
      </c>
      <c r="D150" s="90" t="s">
        <v>75</v>
      </c>
      <c r="E150" s="24" t="s">
        <v>425</v>
      </c>
      <c r="F150" s="84">
        <v>1381000</v>
      </c>
      <c r="G150" s="24" t="s">
        <v>35</v>
      </c>
      <c r="H150" s="84">
        <v>151</v>
      </c>
      <c r="I150" s="24" t="s">
        <v>243</v>
      </c>
      <c r="J150" s="84"/>
      <c r="K150" s="86"/>
      <c r="L150" s="24"/>
    </row>
    <row r="151" spans="2:12" ht="12.75" customHeight="1" x14ac:dyDescent="0.2">
      <c r="B151" s="49"/>
      <c r="C151" s="24" t="s">
        <v>426</v>
      </c>
      <c r="D151" s="90" t="s">
        <v>428</v>
      </c>
      <c r="E151" s="24" t="s">
        <v>429</v>
      </c>
      <c r="F151" s="84">
        <v>689000</v>
      </c>
      <c r="G151" s="24" t="s">
        <v>35</v>
      </c>
      <c r="H151" s="84">
        <v>151</v>
      </c>
      <c r="I151" s="24" t="s">
        <v>243</v>
      </c>
      <c r="J151" s="107">
        <v>1168171</v>
      </c>
      <c r="K151" s="108">
        <v>100937</v>
      </c>
      <c r="L151" s="24"/>
    </row>
    <row r="152" spans="2:12" ht="12.75" customHeight="1" x14ac:dyDescent="0.2">
      <c r="B152" s="49"/>
      <c r="C152" s="24"/>
      <c r="D152" s="24"/>
      <c r="E152" s="24"/>
      <c r="F152" s="109">
        <f>SUM(F150:F151)</f>
        <v>2070000</v>
      </c>
      <c r="G152" s="24"/>
      <c r="H152" s="84"/>
      <c r="I152" s="24"/>
      <c r="J152" s="102"/>
      <c r="K152" s="86"/>
      <c r="L152" s="24"/>
    </row>
    <row r="153" spans="2:12" ht="11.25" customHeight="1" x14ac:dyDescent="0.2">
      <c r="B153" s="49"/>
      <c r="C153" s="24"/>
      <c r="D153" s="24"/>
      <c r="E153" s="199"/>
      <c r="F153" s="84"/>
      <c r="G153" s="199"/>
      <c r="H153" s="84"/>
      <c r="I153" s="199"/>
      <c r="J153" s="84"/>
      <c r="K153" s="86"/>
      <c r="L153" s="24"/>
    </row>
    <row r="154" spans="2:12" ht="12.75" customHeight="1" x14ac:dyDescent="0.2">
      <c r="B154" s="104" t="s">
        <v>337</v>
      </c>
      <c r="C154" s="62" t="s">
        <v>338</v>
      </c>
      <c r="D154" s="24"/>
      <c r="E154" s="199"/>
      <c r="F154" s="84"/>
      <c r="G154" s="199"/>
      <c r="H154" s="84"/>
      <c r="I154" s="199"/>
      <c r="J154" s="84"/>
      <c r="K154" s="86"/>
      <c r="L154" s="24"/>
    </row>
    <row r="155" spans="2:12" ht="12.75" customHeight="1" x14ac:dyDescent="0.2">
      <c r="B155" s="49"/>
      <c r="C155" s="24" t="s">
        <v>340</v>
      </c>
      <c r="D155" s="90" t="s">
        <v>341</v>
      </c>
      <c r="E155" s="24" t="s">
        <v>416</v>
      </c>
      <c r="F155" s="109">
        <v>800843</v>
      </c>
      <c r="G155" s="24" t="s">
        <v>35</v>
      </c>
      <c r="H155" s="84">
        <v>150334</v>
      </c>
      <c r="I155" s="24" t="s">
        <v>342</v>
      </c>
      <c r="J155" s="107">
        <v>168136</v>
      </c>
      <c r="K155" s="108">
        <v>13643</v>
      </c>
      <c r="L155" s="24"/>
    </row>
    <row r="156" spans="2:12" ht="12.75" customHeight="1" x14ac:dyDescent="0.2">
      <c r="B156" s="49"/>
      <c r="C156" s="24"/>
      <c r="D156" s="24"/>
      <c r="E156" s="199"/>
      <c r="F156" s="84"/>
      <c r="G156" s="199"/>
      <c r="H156" s="84"/>
      <c r="I156" s="199"/>
      <c r="J156" s="102"/>
      <c r="K156" s="86"/>
      <c r="L156" s="24"/>
    </row>
    <row r="157" spans="2:12" ht="12.75" customHeight="1" x14ac:dyDescent="0.2">
      <c r="B157" s="49" t="s">
        <v>176</v>
      </c>
      <c r="C157" s="136" t="s">
        <v>178</v>
      </c>
      <c r="D157" s="24"/>
      <c r="E157" s="24"/>
      <c r="F157" s="84"/>
      <c r="G157" s="24"/>
      <c r="H157" s="84"/>
      <c r="I157" s="24"/>
      <c r="J157" s="24"/>
      <c r="K157" s="86"/>
      <c r="L157" s="24"/>
    </row>
    <row r="158" spans="2:12" ht="12.75" customHeight="1" x14ac:dyDescent="0.2">
      <c r="B158" s="49"/>
      <c r="C158" s="24" t="s">
        <v>180</v>
      </c>
      <c r="D158" s="106">
        <v>1</v>
      </c>
      <c r="E158" s="24" t="s">
        <v>436</v>
      </c>
      <c r="F158" s="109">
        <v>38840</v>
      </c>
      <c r="G158" s="24" t="s">
        <v>35</v>
      </c>
      <c r="H158" s="84">
        <v>138840</v>
      </c>
      <c r="I158" s="24" t="s">
        <v>374</v>
      </c>
      <c r="J158" s="84"/>
      <c r="K158" s="86"/>
      <c r="L158" s="24"/>
    </row>
    <row r="159" spans="2:12" ht="12.75" customHeight="1" x14ac:dyDescent="0.2">
      <c r="B159" s="49"/>
      <c r="C159" s="24" t="s">
        <v>185</v>
      </c>
      <c r="D159" s="106">
        <v>2</v>
      </c>
      <c r="E159" s="24" t="s">
        <v>436</v>
      </c>
      <c r="F159" s="109">
        <v>7620</v>
      </c>
      <c r="G159" s="24" t="s">
        <v>35</v>
      </c>
      <c r="H159" s="84">
        <v>138840</v>
      </c>
      <c r="I159" s="24" t="s">
        <v>374</v>
      </c>
      <c r="J159" s="84"/>
      <c r="K159" s="86"/>
      <c r="L159" s="24"/>
    </row>
    <row r="160" spans="2:12" ht="11.25" customHeight="1" x14ac:dyDescent="0.2">
      <c r="B160" s="49"/>
      <c r="C160" s="24"/>
      <c r="D160" s="24"/>
      <c r="E160" s="24"/>
      <c r="F160" s="84"/>
      <c r="G160" s="24"/>
      <c r="H160" s="84"/>
      <c r="I160" s="24"/>
      <c r="J160" s="24"/>
      <c r="K160" s="86"/>
      <c r="L160" s="24"/>
    </row>
    <row r="161" spans="1:12" ht="11.25" customHeight="1" x14ac:dyDescent="0.2">
      <c r="B161" s="49"/>
      <c r="C161" s="24"/>
      <c r="D161" s="24"/>
      <c r="E161" s="24"/>
      <c r="F161" s="84"/>
      <c r="G161" s="24"/>
      <c r="H161" s="84"/>
      <c r="I161" s="24"/>
      <c r="J161" s="24"/>
      <c r="K161" s="86"/>
      <c r="L161" s="24"/>
    </row>
    <row r="162" spans="1:12" ht="12.75" customHeight="1" x14ac:dyDescent="0.2">
      <c r="B162" s="221" t="s">
        <v>441</v>
      </c>
      <c r="C162" s="62" t="s">
        <v>442</v>
      </c>
      <c r="D162" s="24"/>
      <c r="E162" s="24" t="s">
        <v>416</v>
      </c>
      <c r="F162" s="84"/>
      <c r="G162" s="24"/>
      <c r="H162" s="84"/>
      <c r="I162" s="24"/>
      <c r="J162" s="245">
        <v>69490.446926729041</v>
      </c>
      <c r="K162" s="246">
        <v>5926.5710326627122</v>
      </c>
      <c r="L162" s="24"/>
    </row>
    <row r="163" spans="1:12" ht="11.25" customHeight="1" x14ac:dyDescent="0.2">
      <c r="B163" s="49" t="s">
        <v>445</v>
      </c>
      <c r="D163" s="24"/>
      <c r="E163" s="24"/>
      <c r="F163" s="84"/>
      <c r="G163" s="24"/>
      <c r="H163" s="84"/>
      <c r="I163" s="24"/>
      <c r="J163" s="24"/>
      <c r="K163" s="86"/>
      <c r="L163" s="24"/>
    </row>
    <row r="164" spans="1:12" ht="11.25" customHeight="1" x14ac:dyDescent="0.2">
      <c r="B164" s="49"/>
      <c r="D164" s="24"/>
      <c r="E164" s="24"/>
      <c r="F164" s="24"/>
      <c r="G164" s="24"/>
      <c r="H164" s="24"/>
      <c r="I164" s="24"/>
      <c r="J164" s="24"/>
      <c r="K164" s="86"/>
      <c r="L164" s="24"/>
    </row>
    <row r="165" spans="1:12" ht="12.75" customHeight="1" x14ac:dyDescent="0.2">
      <c r="A165" s="24"/>
      <c r="B165" s="49"/>
      <c r="C165" s="24"/>
      <c r="D165" s="24"/>
      <c r="E165" s="24"/>
      <c r="F165" s="24"/>
      <c r="G165" s="24"/>
      <c r="H165" s="62" t="s">
        <v>449</v>
      </c>
      <c r="J165" s="97">
        <f t="shared" ref="J165:K165" si="27">SUM(J151:J164)</f>
        <v>1405797.4469267291</v>
      </c>
      <c r="K165" s="98">
        <f t="shared" si="27"/>
        <v>120506.57103266272</v>
      </c>
      <c r="L165" s="24"/>
    </row>
    <row r="166" spans="1:12" ht="13.5" customHeight="1" x14ac:dyDescent="0.2">
      <c r="A166" s="24"/>
      <c r="B166" s="154"/>
      <c r="C166" s="155"/>
      <c r="D166" s="155"/>
      <c r="E166" s="155"/>
      <c r="F166" s="155"/>
      <c r="G166" s="155"/>
      <c r="H166" s="155"/>
      <c r="I166" s="250"/>
      <c r="J166" s="155"/>
      <c r="K166" s="251"/>
      <c r="L166" s="24"/>
    </row>
    <row r="167" spans="1:12" ht="13.5" customHeight="1" x14ac:dyDescent="0.2">
      <c r="A167" s="24"/>
      <c r="B167" s="24"/>
      <c r="C167" s="24"/>
      <c r="D167" s="24"/>
      <c r="E167" s="24"/>
      <c r="F167" s="24"/>
      <c r="G167" s="24"/>
      <c r="H167" s="24"/>
      <c r="I167" s="62"/>
      <c r="J167" s="24"/>
      <c r="K167" s="24"/>
      <c r="L167" s="97"/>
    </row>
    <row r="168" spans="1:12" ht="15.75" customHeight="1" x14ac:dyDescent="0.25">
      <c r="A168" s="24"/>
      <c r="B168" s="24"/>
      <c r="C168" s="24"/>
      <c r="D168" s="24"/>
      <c r="E168" s="24"/>
      <c r="F168" s="24"/>
      <c r="H168" s="1768" t="s">
        <v>454</v>
      </c>
      <c r="I168" s="1766"/>
      <c r="J168" s="254">
        <f t="shared" ref="J168:K168" si="28">J165+J134+J131</f>
        <v>2537117.1729954593</v>
      </c>
      <c r="K168" s="254">
        <f t="shared" si="28"/>
        <v>212276.2098544967</v>
      </c>
      <c r="L168" s="24"/>
    </row>
    <row r="169" spans="1:12" ht="12.75" customHeight="1" x14ac:dyDescent="0.2">
      <c r="A169" s="24"/>
      <c r="B169" s="24"/>
      <c r="C169" s="24"/>
      <c r="D169" s="24"/>
      <c r="E169" s="24"/>
      <c r="F169" s="24"/>
      <c r="G169" s="24"/>
      <c r="H169" s="24"/>
      <c r="I169" s="62"/>
      <c r="J169" s="24"/>
      <c r="K169" s="109"/>
      <c r="L169" s="24"/>
    </row>
    <row r="170" spans="1:12" ht="12.75" customHeight="1" x14ac:dyDescent="0.2">
      <c r="A170" s="24"/>
      <c r="B170" s="24"/>
      <c r="C170" s="24"/>
      <c r="D170" s="24"/>
      <c r="E170" s="24"/>
      <c r="F170" s="24"/>
      <c r="G170" s="24"/>
      <c r="H170" s="24"/>
      <c r="I170" s="62"/>
      <c r="J170" s="24"/>
      <c r="K170" s="109"/>
      <c r="L170" s="24"/>
    </row>
    <row r="171" spans="1:12" ht="12.75" customHeight="1" x14ac:dyDescent="0.2">
      <c r="A171" s="24"/>
      <c r="B171" s="24"/>
      <c r="C171" s="24"/>
      <c r="D171" s="24"/>
      <c r="E171" s="24"/>
      <c r="F171" s="24"/>
      <c r="G171" s="24"/>
      <c r="H171" s="24"/>
      <c r="I171" s="62"/>
      <c r="J171" s="24"/>
      <c r="K171" s="109"/>
      <c r="L171" s="24"/>
    </row>
    <row r="172" spans="1:12" ht="12.75" customHeight="1" x14ac:dyDescent="0.2">
      <c r="A172" s="24"/>
      <c r="B172" s="24"/>
      <c r="C172" s="24"/>
      <c r="D172" s="24"/>
      <c r="E172" s="24"/>
      <c r="F172" s="24"/>
      <c r="G172" s="24"/>
      <c r="H172" s="24"/>
      <c r="I172" s="62"/>
      <c r="J172" s="24"/>
      <c r="K172" s="109"/>
      <c r="L172" s="24"/>
    </row>
    <row r="173" spans="1:12" ht="12.75" customHeight="1" x14ac:dyDescent="0.2">
      <c r="A173" s="24"/>
      <c r="B173" s="24"/>
      <c r="C173" s="24"/>
      <c r="D173" s="24"/>
      <c r="E173" s="24"/>
      <c r="F173" s="24"/>
      <c r="G173" s="24"/>
      <c r="H173" s="24"/>
      <c r="I173" s="62"/>
      <c r="J173" s="24"/>
      <c r="K173" s="109"/>
      <c r="L173" s="24"/>
    </row>
    <row r="174" spans="1:12" ht="21" customHeight="1" x14ac:dyDescent="0.35">
      <c r="A174" s="24"/>
      <c r="B174" s="18" t="s">
        <v>462</v>
      </c>
      <c r="C174" s="24"/>
      <c r="D174" s="24"/>
      <c r="E174" s="24"/>
      <c r="F174" s="24"/>
      <c r="G174" s="24"/>
      <c r="H174" s="24"/>
      <c r="I174" s="62"/>
      <c r="J174" s="24"/>
      <c r="K174" s="109"/>
      <c r="L174" s="24"/>
    </row>
    <row r="175" spans="1:12" ht="12" customHeight="1" x14ac:dyDescent="0.2">
      <c r="A175" s="49"/>
      <c r="B175" s="24"/>
      <c r="C175" s="24"/>
      <c r="D175" s="24"/>
      <c r="E175" s="24"/>
      <c r="F175" s="24"/>
      <c r="G175" s="24"/>
      <c r="H175" s="24"/>
      <c r="I175" s="24"/>
      <c r="J175" s="24"/>
      <c r="K175" s="24"/>
      <c r="L175" s="24"/>
    </row>
    <row r="176" spans="1:12" ht="13.5" customHeight="1" x14ac:dyDescent="0.2">
      <c r="A176" s="49"/>
      <c r="B176" s="26"/>
      <c r="C176" s="31"/>
      <c r="D176" s="31"/>
      <c r="E176" s="31"/>
      <c r="F176" s="31"/>
      <c r="G176" s="262"/>
      <c r="H176" s="31"/>
      <c r="I176" s="31"/>
      <c r="J176" s="31"/>
      <c r="K176" s="28"/>
      <c r="L176" s="24"/>
    </row>
    <row r="177" spans="1:12" ht="12.75" customHeight="1" x14ac:dyDescent="0.2">
      <c r="A177" s="49"/>
      <c r="B177" s="49"/>
      <c r="C177" s="24"/>
      <c r="D177" s="24"/>
      <c r="E177" s="24"/>
      <c r="F177" s="24"/>
      <c r="G177" s="158"/>
      <c r="H177" s="158"/>
      <c r="I177" s="24"/>
      <c r="J177" s="24"/>
      <c r="K177" s="86"/>
      <c r="L177" s="24"/>
    </row>
    <row r="178" spans="1:12" ht="12.75" customHeight="1" x14ac:dyDescent="0.2">
      <c r="A178" s="49"/>
      <c r="B178" s="49"/>
      <c r="C178" s="24"/>
      <c r="D178" s="24"/>
      <c r="E178" s="24"/>
      <c r="F178" s="24"/>
      <c r="G178" s="158"/>
      <c r="H178" s="158"/>
      <c r="I178" s="24"/>
      <c r="J178" s="24"/>
      <c r="K178" s="86"/>
      <c r="L178" s="24"/>
    </row>
    <row r="179" spans="1:12" ht="14.25" customHeight="1" x14ac:dyDescent="0.25">
      <c r="A179" s="49"/>
      <c r="B179" s="49" t="s">
        <v>30</v>
      </c>
      <c r="C179" s="24" t="s">
        <v>17</v>
      </c>
      <c r="D179" s="24" t="s">
        <v>19</v>
      </c>
      <c r="E179" s="24" t="s">
        <v>20</v>
      </c>
      <c r="F179" s="24" t="s">
        <v>21</v>
      </c>
      <c r="G179" s="24" t="s">
        <v>23</v>
      </c>
      <c r="H179" s="24" t="s">
        <v>24</v>
      </c>
      <c r="I179" s="55" t="s">
        <v>38</v>
      </c>
      <c r="J179" s="57" t="s">
        <v>38</v>
      </c>
      <c r="K179" s="60" t="s">
        <v>470</v>
      </c>
      <c r="L179" s="24"/>
    </row>
    <row r="180" spans="1:12" ht="12.75" customHeight="1" x14ac:dyDescent="0.2">
      <c r="A180" s="49"/>
      <c r="B180" s="49"/>
      <c r="C180" s="24"/>
      <c r="D180" s="24"/>
      <c r="E180" s="24"/>
      <c r="F180" s="24" t="s">
        <v>471</v>
      </c>
      <c r="G180" s="24"/>
      <c r="H180" s="24"/>
      <c r="I180" s="53" t="s">
        <v>43</v>
      </c>
      <c r="J180" s="65" t="s">
        <v>43</v>
      </c>
      <c r="K180" s="67" t="s">
        <v>41</v>
      </c>
      <c r="L180" s="24"/>
    </row>
    <row r="181" spans="1:12" ht="12.75" customHeight="1" x14ac:dyDescent="0.2">
      <c r="A181" s="49"/>
      <c r="B181" s="49"/>
      <c r="C181" s="24"/>
      <c r="D181" s="24"/>
      <c r="E181" s="24"/>
      <c r="F181" s="24"/>
      <c r="G181" s="24"/>
      <c r="H181" s="24"/>
      <c r="I181" s="53" t="s">
        <v>50</v>
      </c>
      <c r="J181" s="65" t="s">
        <v>51</v>
      </c>
      <c r="K181" s="272" t="s">
        <v>51</v>
      </c>
      <c r="L181" s="24"/>
    </row>
    <row r="182" spans="1:12" ht="12.75" customHeight="1" x14ac:dyDescent="0.2">
      <c r="A182" s="49"/>
      <c r="B182" s="49" t="s">
        <v>55</v>
      </c>
      <c r="C182" s="62" t="s">
        <v>56</v>
      </c>
      <c r="D182" s="24"/>
      <c r="E182" s="24"/>
      <c r="F182" s="84"/>
      <c r="G182" s="24"/>
      <c r="H182" s="24"/>
      <c r="I182" s="24"/>
      <c r="J182" s="24"/>
      <c r="K182" s="86"/>
      <c r="L182" s="24"/>
    </row>
    <row r="183" spans="1:12" ht="11.25" customHeight="1" x14ac:dyDescent="0.2">
      <c r="A183" s="49"/>
      <c r="B183" s="49"/>
      <c r="C183" s="24" t="s">
        <v>473</v>
      </c>
      <c r="D183" s="24" t="s">
        <v>475</v>
      </c>
      <c r="E183" s="24" t="s">
        <v>63</v>
      </c>
      <c r="F183" s="84">
        <v>4505600</v>
      </c>
      <c r="G183" s="84">
        <v>1020</v>
      </c>
      <c r="H183" s="24" t="s">
        <v>476</v>
      </c>
      <c r="I183" s="167">
        <f t="shared" ref="I183:I184" si="29">F183*G183/1000000</f>
        <v>4595.7120000000004</v>
      </c>
      <c r="J183" s="24"/>
      <c r="K183" s="86"/>
      <c r="L183" s="24"/>
    </row>
    <row r="184" spans="1:12" ht="11.25" customHeight="1" x14ac:dyDescent="0.2">
      <c r="A184" s="49"/>
      <c r="B184" s="49"/>
      <c r="C184" s="24" t="s">
        <v>477</v>
      </c>
      <c r="D184" s="24" t="s">
        <v>478</v>
      </c>
      <c r="E184" s="24" t="s">
        <v>63</v>
      </c>
      <c r="F184" s="84">
        <v>612700</v>
      </c>
      <c r="G184" s="84">
        <v>1021</v>
      </c>
      <c r="H184" s="24" t="s">
        <v>476</v>
      </c>
      <c r="I184" s="273">
        <f t="shared" si="29"/>
        <v>625.56669999999997</v>
      </c>
      <c r="J184" s="24"/>
      <c r="K184" s="86"/>
      <c r="L184" s="24"/>
    </row>
    <row r="185" spans="1:12" ht="12.75" customHeight="1" x14ac:dyDescent="0.2">
      <c r="A185" s="49"/>
      <c r="B185" s="49"/>
      <c r="C185" s="24"/>
      <c r="D185" s="24"/>
      <c r="E185" s="24"/>
      <c r="F185" s="109">
        <f>SUM(F183:F184)</f>
        <v>5118300</v>
      </c>
      <c r="G185" s="84"/>
      <c r="H185" s="24"/>
      <c r="I185" s="102"/>
      <c r="J185" s="24"/>
      <c r="K185" s="86"/>
      <c r="L185" s="24"/>
    </row>
    <row r="186" spans="1:12" ht="12.75" customHeight="1" x14ac:dyDescent="0.2">
      <c r="A186" s="49"/>
      <c r="B186" s="104" t="s">
        <v>98</v>
      </c>
      <c r="C186" s="62" t="s">
        <v>29</v>
      </c>
      <c r="D186" s="53"/>
      <c r="E186" s="24"/>
      <c r="F186" s="84"/>
      <c r="G186" s="84"/>
      <c r="H186" s="24"/>
      <c r="I186" s="24"/>
      <c r="J186" s="24"/>
      <c r="K186" s="86"/>
      <c r="L186" s="24"/>
    </row>
    <row r="187" spans="1:12" ht="11.25" customHeight="1" x14ac:dyDescent="0.2">
      <c r="A187" s="49"/>
      <c r="B187" s="49"/>
      <c r="C187" s="24" t="s">
        <v>101</v>
      </c>
      <c r="D187" s="106" t="s">
        <v>102</v>
      </c>
      <c r="E187" s="24" t="s">
        <v>484</v>
      </c>
      <c r="F187" s="84">
        <v>50000000</v>
      </c>
      <c r="G187" s="84">
        <v>1044</v>
      </c>
      <c r="H187" s="24" t="s">
        <v>485</v>
      </c>
      <c r="I187" s="84">
        <f t="shared" ref="I187:I188" si="30">(F187*G187)/1000000</f>
        <v>52200</v>
      </c>
      <c r="J187" s="24"/>
      <c r="K187" s="86"/>
      <c r="L187" s="24"/>
    </row>
    <row r="188" spans="1:12" ht="11.25" customHeight="1" x14ac:dyDescent="0.2">
      <c r="A188" s="49"/>
      <c r="B188" s="49"/>
      <c r="C188" s="24" t="s">
        <v>108</v>
      </c>
      <c r="D188" s="106" t="s">
        <v>109</v>
      </c>
      <c r="E188" s="24" t="s">
        <v>484</v>
      </c>
      <c r="F188" s="84">
        <v>51000000</v>
      </c>
      <c r="G188" s="84">
        <v>1044</v>
      </c>
      <c r="H188" s="24" t="s">
        <v>485</v>
      </c>
      <c r="I188" s="84">
        <f t="shared" si="30"/>
        <v>53244</v>
      </c>
      <c r="J188" s="24"/>
      <c r="K188" s="86"/>
      <c r="L188" s="24"/>
    </row>
    <row r="189" spans="1:12" ht="12.75" customHeight="1" x14ac:dyDescent="0.2">
      <c r="A189" s="49"/>
      <c r="B189" s="49"/>
      <c r="C189" s="24"/>
      <c r="D189" s="53"/>
      <c r="E189" s="24"/>
      <c r="F189" s="109">
        <f>SUM(F187:F188)</f>
        <v>101000000</v>
      </c>
      <c r="G189" s="84"/>
      <c r="H189" s="24"/>
      <c r="I189" s="84"/>
      <c r="J189" s="24"/>
      <c r="K189" s="86"/>
      <c r="L189" s="24"/>
    </row>
    <row r="190" spans="1:12" ht="11.25" customHeight="1" x14ac:dyDescent="0.2">
      <c r="A190" s="49"/>
      <c r="B190" s="49"/>
      <c r="C190" s="24"/>
      <c r="D190" s="24"/>
      <c r="E190" s="24"/>
      <c r="F190" s="84"/>
      <c r="G190" s="84"/>
      <c r="H190" s="24"/>
      <c r="I190" s="84"/>
      <c r="J190" s="24"/>
      <c r="K190" s="86"/>
      <c r="L190" s="24"/>
    </row>
    <row r="191" spans="1:12" ht="12.75" customHeight="1" x14ac:dyDescent="0.2">
      <c r="A191" s="49"/>
      <c r="B191" s="104" t="s">
        <v>118</v>
      </c>
      <c r="C191" s="62" t="s">
        <v>119</v>
      </c>
      <c r="D191" s="24"/>
      <c r="E191" s="24"/>
      <c r="F191" s="84"/>
      <c r="G191" s="84"/>
      <c r="H191" s="24"/>
      <c r="I191" s="102"/>
      <c r="J191" s="24"/>
      <c r="K191" s="86"/>
      <c r="L191" s="24"/>
    </row>
    <row r="192" spans="1:12" ht="11.25" customHeight="1" x14ac:dyDescent="0.2">
      <c r="A192" s="49"/>
      <c r="B192" s="49"/>
      <c r="C192" s="24" t="s">
        <v>121</v>
      </c>
      <c r="D192" s="106" t="s">
        <v>75</v>
      </c>
      <c r="E192" s="24" t="s">
        <v>313</v>
      </c>
      <c r="F192" s="84">
        <v>23884500</v>
      </c>
      <c r="G192" s="84">
        <v>1052</v>
      </c>
      <c r="H192" s="24" t="s">
        <v>485</v>
      </c>
      <c r="I192" s="84">
        <f t="shared" ref="I192:I199" si="31">(F192*G192)/1000000</f>
        <v>25126.493999999999</v>
      </c>
      <c r="J192" s="24"/>
      <c r="K192" s="86"/>
      <c r="L192" s="24"/>
    </row>
    <row r="193" spans="1:12" ht="11.25" customHeight="1" x14ac:dyDescent="0.2">
      <c r="A193" s="49"/>
      <c r="B193" s="49"/>
      <c r="C193" s="24" t="s">
        <v>123</v>
      </c>
      <c r="D193" s="106" t="s">
        <v>85</v>
      </c>
      <c r="E193" s="24" t="s">
        <v>313</v>
      </c>
      <c r="F193" s="84">
        <v>35159000</v>
      </c>
      <c r="G193" s="84">
        <v>1050</v>
      </c>
      <c r="H193" s="24" t="s">
        <v>485</v>
      </c>
      <c r="I193" s="84">
        <f t="shared" si="31"/>
        <v>36916.949999999997</v>
      </c>
      <c r="J193" s="24"/>
      <c r="K193" s="86"/>
      <c r="L193" s="24"/>
    </row>
    <row r="194" spans="1:12" ht="12.75" customHeight="1" x14ac:dyDescent="0.2">
      <c r="A194" s="49"/>
      <c r="B194" s="49"/>
      <c r="C194" s="24" t="s">
        <v>262</v>
      </c>
      <c r="D194" s="106" t="s">
        <v>137</v>
      </c>
      <c r="E194" s="24" t="s">
        <v>313</v>
      </c>
      <c r="F194" s="84">
        <v>2232939000</v>
      </c>
      <c r="G194" s="84">
        <v>1040</v>
      </c>
      <c r="H194" s="24" t="s">
        <v>485</v>
      </c>
      <c r="I194" s="84">
        <f t="shared" si="31"/>
        <v>2322256.56</v>
      </c>
      <c r="J194" s="107">
        <v>4124736</v>
      </c>
      <c r="K194" s="108">
        <v>272718</v>
      </c>
      <c r="L194" s="24"/>
    </row>
    <row r="195" spans="1:12" ht="12.75" customHeight="1" x14ac:dyDescent="0.2">
      <c r="A195" s="49"/>
      <c r="B195" s="49"/>
      <c r="C195" s="24" t="s">
        <v>264</v>
      </c>
      <c r="D195" s="106" t="s">
        <v>263</v>
      </c>
      <c r="E195" s="24" t="s">
        <v>313</v>
      </c>
      <c r="F195" s="84">
        <v>2865514000</v>
      </c>
      <c r="G195" s="84">
        <v>1041</v>
      </c>
      <c r="H195" s="24" t="s">
        <v>485</v>
      </c>
      <c r="I195" s="84">
        <f t="shared" si="31"/>
        <v>2983000.074</v>
      </c>
      <c r="J195" s="107">
        <v>4412283</v>
      </c>
      <c r="K195" s="108">
        <v>279485</v>
      </c>
      <c r="L195" s="24"/>
    </row>
    <row r="196" spans="1:12" ht="12.75" customHeight="1" x14ac:dyDescent="0.2">
      <c r="A196" s="49"/>
      <c r="B196" s="49"/>
      <c r="C196" s="24" t="s">
        <v>270</v>
      </c>
      <c r="D196" s="106" t="s">
        <v>271</v>
      </c>
      <c r="E196" s="24" t="s">
        <v>313</v>
      </c>
      <c r="F196" s="84">
        <v>151803000</v>
      </c>
      <c r="G196" s="84">
        <v>1044</v>
      </c>
      <c r="H196" s="24" t="s">
        <v>485</v>
      </c>
      <c r="I196" s="84">
        <f t="shared" si="31"/>
        <v>158482.33199999999</v>
      </c>
      <c r="J196" s="107">
        <v>223457</v>
      </c>
      <c r="K196" s="108">
        <v>13612</v>
      </c>
      <c r="L196" s="24"/>
    </row>
    <row r="197" spans="1:12" ht="12.75" customHeight="1" x14ac:dyDescent="0.2">
      <c r="A197" s="49"/>
      <c r="B197" s="49"/>
      <c r="C197" s="24" t="s">
        <v>273</v>
      </c>
      <c r="D197" s="106" t="s">
        <v>274</v>
      </c>
      <c r="E197" s="24" t="s">
        <v>313</v>
      </c>
      <c r="F197" s="84">
        <v>150036000</v>
      </c>
      <c r="G197" s="84">
        <v>1044</v>
      </c>
      <c r="H197" s="24" t="s">
        <v>485</v>
      </c>
      <c r="I197" s="84">
        <f t="shared" si="31"/>
        <v>156637.584</v>
      </c>
      <c r="J197" s="107">
        <v>237292</v>
      </c>
      <c r="K197" s="108">
        <v>14539</v>
      </c>
      <c r="L197" s="24"/>
    </row>
    <row r="198" spans="1:12" ht="12.75" customHeight="1" x14ac:dyDescent="0.2">
      <c r="A198" s="49"/>
      <c r="B198" s="49"/>
      <c r="C198" s="24" t="s">
        <v>275</v>
      </c>
      <c r="D198" s="106" t="s">
        <v>276</v>
      </c>
      <c r="E198" s="24" t="s">
        <v>313</v>
      </c>
      <c r="F198" s="84">
        <v>135210000</v>
      </c>
      <c r="G198" s="84">
        <v>1044</v>
      </c>
      <c r="H198" s="24" t="s">
        <v>485</v>
      </c>
      <c r="I198" s="84">
        <f t="shared" si="31"/>
        <v>141159.24</v>
      </c>
      <c r="J198" s="107">
        <v>290042</v>
      </c>
      <c r="K198" s="108">
        <v>17585</v>
      </c>
      <c r="L198" s="24"/>
    </row>
    <row r="199" spans="1:12" ht="12.75" customHeight="1" x14ac:dyDescent="0.2">
      <c r="A199" s="49"/>
      <c r="B199" s="49"/>
      <c r="C199" s="24" t="s">
        <v>279</v>
      </c>
      <c r="D199" s="106" t="s">
        <v>280</v>
      </c>
      <c r="E199" s="24" t="s">
        <v>313</v>
      </c>
      <c r="F199" s="84">
        <v>178511000</v>
      </c>
      <c r="G199" s="84">
        <v>1043</v>
      </c>
      <c r="H199" s="24" t="s">
        <v>485</v>
      </c>
      <c r="I199" s="84">
        <f t="shared" si="31"/>
        <v>186186.973</v>
      </c>
      <c r="J199" s="107">
        <v>311222</v>
      </c>
      <c r="K199" s="108">
        <v>19063</v>
      </c>
      <c r="L199" s="24"/>
    </row>
    <row r="200" spans="1:12" ht="12.75" customHeight="1" x14ac:dyDescent="0.2">
      <c r="A200" s="49"/>
      <c r="B200" s="49"/>
      <c r="C200" s="24"/>
      <c r="D200" s="53"/>
      <c r="E200" s="24"/>
      <c r="F200" s="109">
        <f>SUM(F192:F199)</f>
        <v>5773056500</v>
      </c>
      <c r="G200" s="84"/>
      <c r="H200" s="24"/>
      <c r="I200" s="102"/>
      <c r="J200" s="109">
        <f t="shared" ref="J200:K200" si="32">SUM(J194:J199)</f>
        <v>9599032</v>
      </c>
      <c r="K200" s="112">
        <f t="shared" si="32"/>
        <v>617002</v>
      </c>
      <c r="L200" s="24"/>
    </row>
    <row r="201" spans="1:12" ht="12.75" customHeight="1" x14ac:dyDescent="0.2">
      <c r="A201" s="49"/>
      <c r="B201" s="49"/>
      <c r="C201" s="24"/>
      <c r="D201" s="24"/>
      <c r="E201" s="24"/>
      <c r="F201" s="84"/>
      <c r="G201" s="84"/>
      <c r="H201" s="24"/>
      <c r="I201" s="84"/>
      <c r="J201" s="84"/>
      <c r="K201" s="108"/>
      <c r="L201" s="24"/>
    </row>
    <row r="202" spans="1:12" ht="12.75" customHeight="1" x14ac:dyDescent="0.2">
      <c r="A202" s="49"/>
      <c r="B202" s="104" t="s">
        <v>507</v>
      </c>
      <c r="C202" s="62" t="s">
        <v>508</v>
      </c>
      <c r="D202" s="24"/>
      <c r="E202" s="24"/>
      <c r="F202" s="84"/>
      <c r="G202" s="84"/>
      <c r="H202" s="24"/>
      <c r="I202" s="84"/>
      <c r="J202" s="84"/>
      <c r="K202" s="108"/>
      <c r="L202" s="24"/>
    </row>
    <row r="203" spans="1:12" ht="12.75" customHeight="1" x14ac:dyDescent="0.2">
      <c r="A203" s="49"/>
      <c r="B203" s="49"/>
      <c r="C203" s="24" t="s">
        <v>510</v>
      </c>
      <c r="D203" s="90" t="s">
        <v>511</v>
      </c>
      <c r="E203" s="24" t="s">
        <v>313</v>
      </c>
      <c r="F203" s="109">
        <v>446473000</v>
      </c>
      <c r="G203" s="84">
        <v>1050</v>
      </c>
      <c r="H203" s="24" t="s">
        <v>476</v>
      </c>
      <c r="I203" s="84">
        <f>(F203*G203)/1000000</f>
        <v>468796.65</v>
      </c>
      <c r="J203" s="107">
        <v>185898</v>
      </c>
      <c r="K203" s="108">
        <v>14593</v>
      </c>
      <c r="L203" s="24"/>
    </row>
    <row r="204" spans="1:12" ht="12.75" customHeight="1" x14ac:dyDescent="0.2">
      <c r="A204" s="49"/>
      <c r="B204" s="49"/>
      <c r="C204" s="24"/>
      <c r="D204" s="24"/>
      <c r="E204" s="24"/>
      <c r="F204" s="84"/>
      <c r="G204" s="84"/>
      <c r="H204" s="24"/>
      <c r="I204" s="84"/>
      <c r="J204" s="84"/>
      <c r="K204" s="108"/>
      <c r="L204" s="24"/>
    </row>
    <row r="205" spans="1:12" ht="12.75" customHeight="1" x14ac:dyDescent="0.2">
      <c r="A205" s="49"/>
      <c r="B205" s="104" t="s">
        <v>129</v>
      </c>
      <c r="C205" s="62" t="s">
        <v>130</v>
      </c>
      <c r="D205" s="24"/>
      <c r="E205" s="24"/>
      <c r="F205" s="84"/>
      <c r="G205" s="84"/>
      <c r="H205" s="24"/>
      <c r="I205" s="84"/>
      <c r="J205" s="84"/>
      <c r="K205" s="108"/>
      <c r="L205" s="24"/>
    </row>
    <row r="206" spans="1:12" ht="12.75" customHeight="1" x14ac:dyDescent="0.2">
      <c r="A206" s="49"/>
      <c r="B206" s="49"/>
      <c r="C206" s="24" t="s">
        <v>423</v>
      </c>
      <c r="D206" s="90" t="s">
        <v>75</v>
      </c>
      <c r="E206" s="24" t="s">
        <v>313</v>
      </c>
      <c r="F206" s="84">
        <v>361000000</v>
      </c>
      <c r="G206" s="84">
        <v>1044</v>
      </c>
      <c r="H206" s="24" t="s">
        <v>516</v>
      </c>
      <c r="I206" s="84">
        <f t="shared" ref="I206:I209" si="33">(F206*G206)/1000000</f>
        <v>376884</v>
      </c>
      <c r="J206" s="107">
        <v>565015</v>
      </c>
      <c r="K206" s="108">
        <v>38237</v>
      </c>
      <c r="L206" s="24"/>
    </row>
    <row r="207" spans="1:12" ht="12.75" customHeight="1" x14ac:dyDescent="0.2">
      <c r="A207" s="49"/>
      <c r="B207" s="49"/>
      <c r="C207" s="24" t="s">
        <v>131</v>
      </c>
      <c r="D207" s="90" t="s">
        <v>85</v>
      </c>
      <c r="E207" s="24" t="s">
        <v>484</v>
      </c>
      <c r="F207" s="84">
        <v>52000000</v>
      </c>
      <c r="G207" s="84">
        <v>1044</v>
      </c>
      <c r="H207" s="24" t="s">
        <v>516</v>
      </c>
      <c r="I207" s="84">
        <f t="shared" si="33"/>
        <v>54288</v>
      </c>
      <c r="J207" s="84"/>
      <c r="K207" s="108"/>
      <c r="L207" s="24"/>
    </row>
    <row r="208" spans="1:12" ht="12.75" customHeight="1" x14ac:dyDescent="0.2">
      <c r="A208" s="49"/>
      <c r="B208" s="49"/>
      <c r="C208" s="24" t="s">
        <v>136</v>
      </c>
      <c r="D208" s="90" t="s">
        <v>137</v>
      </c>
      <c r="E208" s="24" t="s">
        <v>484</v>
      </c>
      <c r="F208" s="84">
        <v>161000000</v>
      </c>
      <c r="G208" s="84">
        <v>1044</v>
      </c>
      <c r="H208" s="24" t="s">
        <v>516</v>
      </c>
      <c r="I208" s="84">
        <f t="shared" si="33"/>
        <v>168084</v>
      </c>
      <c r="J208" s="84"/>
      <c r="K208" s="108"/>
      <c r="L208" s="24"/>
    </row>
    <row r="209" spans="1:12" ht="12.75" customHeight="1" x14ac:dyDescent="0.2">
      <c r="A209" s="49"/>
      <c r="B209" s="49"/>
      <c r="C209" s="24" t="s">
        <v>426</v>
      </c>
      <c r="D209" s="90" t="s">
        <v>428</v>
      </c>
      <c r="E209" s="24" t="s">
        <v>484</v>
      </c>
      <c r="F209" s="84">
        <v>57000000</v>
      </c>
      <c r="G209" s="84">
        <v>1044</v>
      </c>
      <c r="H209" s="24" t="s">
        <v>516</v>
      </c>
      <c r="I209" s="84">
        <f t="shared" si="33"/>
        <v>59508</v>
      </c>
      <c r="J209" s="84"/>
      <c r="K209" s="108"/>
      <c r="L209" s="24"/>
    </row>
    <row r="210" spans="1:12" ht="12.75" customHeight="1" x14ac:dyDescent="0.2">
      <c r="A210" s="49"/>
      <c r="B210" s="49"/>
      <c r="C210" s="24"/>
      <c r="D210" s="24"/>
      <c r="E210" s="24"/>
      <c r="F210" s="109">
        <f>SUM(F206:F209)</f>
        <v>631000000</v>
      </c>
      <c r="G210" s="84"/>
      <c r="H210" s="24"/>
      <c r="I210" s="109">
        <f>SUM(I206:I209)</f>
        <v>658764</v>
      </c>
      <c r="J210" s="102"/>
      <c r="K210" s="108"/>
      <c r="L210" s="24"/>
    </row>
    <row r="211" spans="1:12" ht="12.75" customHeight="1" x14ac:dyDescent="0.2">
      <c r="A211" s="49"/>
      <c r="B211" s="49"/>
      <c r="C211" s="24"/>
      <c r="D211" s="24"/>
      <c r="E211" s="24"/>
      <c r="F211" s="84"/>
      <c r="G211" s="84"/>
      <c r="H211" s="24"/>
      <c r="I211" s="102"/>
      <c r="J211" s="102"/>
      <c r="K211" s="108"/>
      <c r="L211" s="24"/>
    </row>
    <row r="212" spans="1:12" ht="12.75" customHeight="1" x14ac:dyDescent="0.2">
      <c r="A212" s="49"/>
      <c r="B212" s="49"/>
      <c r="C212" s="24"/>
      <c r="D212" s="24"/>
      <c r="E212" s="24"/>
      <c r="F212" s="84"/>
      <c r="G212" s="84"/>
      <c r="H212" s="24"/>
      <c r="I212" s="24"/>
      <c r="J212" s="24"/>
      <c r="K212" s="108"/>
      <c r="L212" s="24"/>
    </row>
    <row r="213" spans="1:12" ht="12.75" customHeight="1" x14ac:dyDescent="0.2">
      <c r="A213" s="49"/>
      <c r="B213" s="104" t="s">
        <v>290</v>
      </c>
      <c r="C213" s="62" t="s">
        <v>253</v>
      </c>
      <c r="D213" s="24"/>
      <c r="E213" s="24"/>
      <c r="F213" s="84"/>
      <c r="G213" s="84"/>
      <c r="H213" s="24"/>
      <c r="I213" s="84"/>
      <c r="J213" s="84"/>
      <c r="K213" s="108"/>
      <c r="L213" s="24"/>
    </row>
    <row r="214" spans="1:12" ht="12.75" customHeight="1" x14ac:dyDescent="0.2">
      <c r="A214" s="49"/>
      <c r="B214" s="49"/>
      <c r="C214" s="24" t="s">
        <v>291</v>
      </c>
      <c r="D214" s="90" t="s">
        <v>292</v>
      </c>
      <c r="E214" s="24" t="s">
        <v>313</v>
      </c>
      <c r="F214" s="109">
        <v>550000000</v>
      </c>
      <c r="G214" s="84">
        <v>1044</v>
      </c>
      <c r="H214" s="24" t="s">
        <v>516</v>
      </c>
      <c r="I214" s="84">
        <f>(F214*G214)/1000000</f>
        <v>574200</v>
      </c>
      <c r="J214" s="107">
        <v>620987</v>
      </c>
      <c r="K214" s="108">
        <v>38852</v>
      </c>
      <c r="L214" s="24"/>
    </row>
    <row r="215" spans="1:12" ht="12.75" customHeight="1" x14ac:dyDescent="0.2">
      <c r="A215" s="49"/>
      <c r="B215" s="49"/>
      <c r="C215" s="24"/>
      <c r="D215" s="24"/>
      <c r="E215" s="24"/>
      <c r="F215" s="84"/>
      <c r="G215" s="84"/>
      <c r="H215" s="24"/>
      <c r="I215" s="102"/>
      <c r="J215" s="102"/>
      <c r="K215" s="108"/>
      <c r="L215" s="24"/>
    </row>
    <row r="216" spans="1:12" ht="12.75" customHeight="1" x14ac:dyDescent="0.2">
      <c r="A216" s="49"/>
      <c r="B216" s="104" t="s">
        <v>323</v>
      </c>
      <c r="C216" s="62" t="s">
        <v>233</v>
      </c>
      <c r="D216" s="24"/>
      <c r="E216" s="24"/>
      <c r="F216" s="84"/>
      <c r="G216" s="84"/>
      <c r="H216" s="24"/>
      <c r="I216" s="24"/>
      <c r="J216" s="24"/>
      <c r="K216" s="108"/>
      <c r="L216" s="24"/>
    </row>
    <row r="217" spans="1:12" ht="12.75" customHeight="1" x14ac:dyDescent="0.2">
      <c r="A217" s="49"/>
      <c r="B217" s="49"/>
      <c r="C217" s="24" t="s">
        <v>400</v>
      </c>
      <c r="D217" s="90" t="s">
        <v>402</v>
      </c>
      <c r="E217" s="24" t="s">
        <v>313</v>
      </c>
      <c r="F217" s="84">
        <v>53000000</v>
      </c>
      <c r="G217" s="84">
        <v>1044</v>
      </c>
      <c r="H217" s="24" t="s">
        <v>527</v>
      </c>
      <c r="I217" s="109">
        <f t="shared" ref="I217:I218" si="34">(F217*G217)/1000000</f>
        <v>55332</v>
      </c>
      <c r="J217" s="102"/>
      <c r="K217" s="108"/>
      <c r="L217" s="24"/>
    </row>
    <row r="218" spans="1:12" ht="12.75" customHeight="1" x14ac:dyDescent="0.2">
      <c r="A218" s="49"/>
      <c r="B218" s="49"/>
      <c r="C218" s="24" t="s">
        <v>528</v>
      </c>
      <c r="D218" s="90" t="s">
        <v>529</v>
      </c>
      <c r="E218" s="24" t="s">
        <v>313</v>
      </c>
      <c r="F218" s="84">
        <v>164000000</v>
      </c>
      <c r="G218" s="84">
        <v>1044</v>
      </c>
      <c r="H218" s="24" t="s">
        <v>527</v>
      </c>
      <c r="I218" s="102">
        <f t="shared" si="34"/>
        <v>171216</v>
      </c>
      <c r="J218" s="107">
        <v>177348</v>
      </c>
      <c r="K218" s="108">
        <v>10540</v>
      </c>
      <c r="L218" s="24"/>
    </row>
    <row r="219" spans="1:12" ht="12.75" customHeight="1" x14ac:dyDescent="0.2">
      <c r="A219" s="49"/>
      <c r="B219" s="49"/>
      <c r="C219" s="24"/>
      <c r="D219" s="90"/>
      <c r="E219" s="24"/>
      <c r="F219" s="109">
        <f>SUM(F217:F218)</f>
        <v>217000000</v>
      </c>
      <c r="G219" s="84"/>
      <c r="H219" s="24"/>
      <c r="I219" s="102"/>
      <c r="J219" s="107"/>
      <c r="K219" s="108"/>
      <c r="L219" s="24"/>
    </row>
    <row r="220" spans="1:12" ht="12.75" customHeight="1" x14ac:dyDescent="0.2">
      <c r="A220" s="49"/>
      <c r="B220" s="49"/>
      <c r="C220" s="24"/>
      <c r="D220" s="24"/>
      <c r="E220" s="199"/>
      <c r="F220" s="84"/>
      <c r="G220" s="84"/>
      <c r="H220" s="199"/>
      <c r="I220" s="84"/>
      <c r="J220" s="84"/>
      <c r="K220" s="108"/>
      <c r="L220" s="24"/>
    </row>
    <row r="221" spans="1:12" ht="12.75" customHeight="1" x14ac:dyDescent="0.2">
      <c r="A221" s="49"/>
      <c r="B221" s="104" t="s">
        <v>532</v>
      </c>
      <c r="C221" s="62" t="s">
        <v>533</v>
      </c>
      <c r="D221" s="24"/>
      <c r="E221" s="24"/>
      <c r="F221" s="84"/>
      <c r="G221" s="84"/>
      <c r="H221" s="24"/>
      <c r="I221" s="84"/>
      <c r="J221" s="84"/>
      <c r="K221" s="108"/>
      <c r="L221" s="24"/>
    </row>
    <row r="222" spans="1:12" ht="12.75" customHeight="1" x14ac:dyDescent="0.2">
      <c r="A222" s="49"/>
      <c r="B222" s="49"/>
      <c r="C222" s="24" t="s">
        <v>535</v>
      </c>
      <c r="D222" s="90" t="s">
        <v>536</v>
      </c>
      <c r="E222" s="24" t="s">
        <v>313</v>
      </c>
      <c r="F222" s="109">
        <v>91000000</v>
      </c>
      <c r="G222" s="84">
        <v>1044</v>
      </c>
      <c r="H222" s="24" t="s">
        <v>527</v>
      </c>
      <c r="I222" s="109">
        <f>(F222*G222)/1000000</f>
        <v>95004</v>
      </c>
      <c r="J222" s="107">
        <v>103000</v>
      </c>
      <c r="K222" s="108">
        <v>5665</v>
      </c>
      <c r="L222" s="24"/>
    </row>
    <row r="223" spans="1:12" ht="12.75" customHeight="1" x14ac:dyDescent="0.2">
      <c r="A223" s="49"/>
      <c r="B223" s="49"/>
      <c r="C223" s="24"/>
      <c r="D223" s="24"/>
      <c r="E223" s="199"/>
      <c r="F223" s="84"/>
      <c r="G223" s="84"/>
      <c r="H223" s="199"/>
      <c r="I223" s="84"/>
      <c r="J223" s="84"/>
      <c r="K223" s="108"/>
      <c r="L223" s="24"/>
    </row>
    <row r="224" spans="1:12" ht="12.75" customHeight="1" x14ac:dyDescent="0.2">
      <c r="A224" s="49"/>
      <c r="B224" s="49" t="s">
        <v>349</v>
      </c>
      <c r="C224" s="136" t="s">
        <v>350</v>
      </c>
      <c r="D224" s="53"/>
      <c r="E224" s="24"/>
      <c r="F224" s="84"/>
      <c r="G224" s="84"/>
      <c r="H224" s="24"/>
      <c r="I224" s="84"/>
      <c r="J224" s="84"/>
      <c r="K224" s="108"/>
      <c r="L224" s="24"/>
    </row>
    <row r="225" spans="1:12" ht="12.75" customHeight="1" x14ac:dyDescent="0.2">
      <c r="A225" s="49"/>
      <c r="B225" s="49"/>
      <c r="C225" s="24" t="s">
        <v>352</v>
      </c>
      <c r="D225" s="53" t="s">
        <v>353</v>
      </c>
      <c r="E225" s="24" t="s">
        <v>313</v>
      </c>
      <c r="F225" s="84">
        <v>481631000</v>
      </c>
      <c r="G225" s="84">
        <v>1035</v>
      </c>
      <c r="H225" s="24" t="s">
        <v>527</v>
      </c>
      <c r="I225" s="84">
        <f t="shared" ref="I225:I226" si="35">(F225*G225)/1000000</f>
        <v>498488.08500000002</v>
      </c>
      <c r="J225" s="107">
        <v>413560</v>
      </c>
      <c r="K225" s="108">
        <v>24853</v>
      </c>
      <c r="L225" s="24"/>
    </row>
    <row r="226" spans="1:12" ht="12.75" customHeight="1" x14ac:dyDescent="0.2">
      <c r="A226" s="49"/>
      <c r="B226" s="49"/>
      <c r="C226" s="24" t="s">
        <v>359</v>
      </c>
      <c r="D226" s="53" t="s">
        <v>360</v>
      </c>
      <c r="E226" s="24" t="s">
        <v>313</v>
      </c>
      <c r="F226" s="84">
        <v>409949000</v>
      </c>
      <c r="G226" s="84">
        <v>1035</v>
      </c>
      <c r="H226" s="24" t="s">
        <v>527</v>
      </c>
      <c r="I226" s="84">
        <f t="shared" si="35"/>
        <v>424297.21500000003</v>
      </c>
      <c r="J226" s="107">
        <v>403584</v>
      </c>
      <c r="K226" s="108">
        <v>24246</v>
      </c>
      <c r="L226" s="24"/>
    </row>
    <row r="227" spans="1:12" ht="12.75" customHeight="1" x14ac:dyDescent="0.2">
      <c r="A227" s="49"/>
      <c r="B227" s="49"/>
      <c r="C227" s="24"/>
      <c r="D227" s="24"/>
      <c r="E227" s="24"/>
      <c r="F227" s="109">
        <f>SUM(F225:F226)</f>
        <v>891580000</v>
      </c>
      <c r="G227" s="84"/>
      <c r="H227" s="24"/>
      <c r="I227" s="24"/>
      <c r="J227" s="109">
        <f t="shared" ref="J227:K227" si="36">SUM(J225:J226)</f>
        <v>817144</v>
      </c>
      <c r="K227" s="112">
        <f t="shared" si="36"/>
        <v>49099</v>
      </c>
      <c r="L227" s="24"/>
    </row>
    <row r="228" spans="1:12" ht="12.75" customHeight="1" x14ac:dyDescent="0.2">
      <c r="A228" s="49"/>
      <c r="B228" s="49" t="s">
        <v>543</v>
      </c>
      <c r="C228" s="62" t="s">
        <v>544</v>
      </c>
      <c r="D228" s="24"/>
      <c r="E228" s="24"/>
      <c r="F228" s="84"/>
      <c r="G228" s="84"/>
      <c r="H228" s="24"/>
      <c r="I228" s="24"/>
      <c r="J228" s="24"/>
      <c r="K228" s="108"/>
      <c r="L228" s="24"/>
    </row>
    <row r="229" spans="1:12" ht="12.75" customHeight="1" x14ac:dyDescent="0.2">
      <c r="A229" s="49"/>
      <c r="B229" s="49"/>
      <c r="C229" s="147" t="s">
        <v>545</v>
      </c>
      <c r="D229" s="106">
        <v>1</v>
      </c>
      <c r="E229" s="24" t="s">
        <v>63</v>
      </c>
      <c r="F229" s="84">
        <v>2373289.27</v>
      </c>
      <c r="G229" s="338">
        <v>1.044</v>
      </c>
      <c r="H229" s="24" t="s">
        <v>546</v>
      </c>
      <c r="I229" s="84">
        <f t="shared" ref="I229:I230" si="37">(F229*G229)</f>
        <v>2477713.9978800002</v>
      </c>
      <c r="J229" s="107">
        <v>2477714</v>
      </c>
      <c r="K229" s="108">
        <v>90209</v>
      </c>
      <c r="L229" s="24"/>
    </row>
    <row r="230" spans="1:12" ht="12.75" customHeight="1" x14ac:dyDescent="0.2">
      <c r="A230" s="49"/>
      <c r="B230" s="49"/>
      <c r="C230" s="147" t="s">
        <v>547</v>
      </c>
      <c r="D230" s="106">
        <v>2</v>
      </c>
      <c r="E230" s="24" t="s">
        <v>63</v>
      </c>
      <c r="F230" s="84">
        <v>1473520.11</v>
      </c>
      <c r="G230" s="338">
        <v>1.044</v>
      </c>
      <c r="H230" s="24" t="s">
        <v>548</v>
      </c>
      <c r="I230" s="84">
        <f t="shared" si="37"/>
        <v>1538354.9948400001</v>
      </c>
      <c r="J230" s="107">
        <v>1538356</v>
      </c>
      <c r="K230" s="108">
        <v>69247</v>
      </c>
      <c r="L230" s="24"/>
    </row>
    <row r="231" spans="1:12" ht="12.75" customHeight="1" x14ac:dyDescent="0.2">
      <c r="A231" s="49"/>
      <c r="B231" s="49"/>
      <c r="C231" s="147"/>
      <c r="D231" s="53"/>
      <c r="E231" s="24"/>
      <c r="F231" s="109">
        <f>SUM(F229:F230)</f>
        <v>3846809.38</v>
      </c>
      <c r="G231" s="84"/>
      <c r="H231" s="24"/>
      <c r="I231" s="84"/>
      <c r="J231" s="109">
        <f t="shared" ref="J231:K231" si="38">SUM(J229:J230)</f>
        <v>4016070</v>
      </c>
      <c r="K231" s="112">
        <f t="shared" si="38"/>
        <v>159456</v>
      </c>
      <c r="L231" s="24"/>
    </row>
    <row r="232" spans="1:12" ht="12.75" customHeight="1" x14ac:dyDescent="0.2">
      <c r="A232" s="49"/>
      <c r="B232" s="49"/>
      <c r="C232" s="24"/>
      <c r="D232" s="24"/>
      <c r="E232" s="24"/>
      <c r="F232" s="84"/>
      <c r="G232" s="84"/>
      <c r="H232" s="24"/>
      <c r="I232" s="24"/>
      <c r="J232" s="24"/>
      <c r="K232" s="108"/>
      <c r="L232" s="24"/>
    </row>
    <row r="233" spans="1:12" ht="12.75" customHeight="1" x14ac:dyDescent="0.2">
      <c r="A233" s="49"/>
      <c r="B233" s="49" t="s">
        <v>549</v>
      </c>
      <c r="C233" s="62" t="s">
        <v>550</v>
      </c>
      <c r="D233" s="24"/>
      <c r="E233" s="24"/>
      <c r="F233" s="84"/>
      <c r="G233" s="84"/>
      <c r="H233" s="24"/>
      <c r="I233" s="24"/>
      <c r="J233" s="24"/>
      <c r="K233" s="108"/>
      <c r="L233" s="24"/>
    </row>
    <row r="234" spans="1:12" ht="12.75" customHeight="1" x14ac:dyDescent="0.2">
      <c r="A234" s="49"/>
      <c r="B234" s="49"/>
      <c r="C234" s="24" t="s">
        <v>551</v>
      </c>
      <c r="D234" s="90" t="s">
        <v>552</v>
      </c>
      <c r="E234" s="24" t="s">
        <v>63</v>
      </c>
      <c r="F234" s="84">
        <v>317189.6551724138</v>
      </c>
      <c r="G234" s="338">
        <v>1.044</v>
      </c>
      <c r="H234" s="24" t="s">
        <v>548</v>
      </c>
      <c r="I234" s="84">
        <f t="shared" ref="I234:I237" si="39">(F234*G234)</f>
        <v>331146</v>
      </c>
      <c r="J234" s="107">
        <v>331146</v>
      </c>
      <c r="K234" s="108">
        <v>19679</v>
      </c>
      <c r="L234" s="24"/>
    </row>
    <row r="235" spans="1:12" ht="12.75" customHeight="1" x14ac:dyDescent="0.2">
      <c r="A235" s="49"/>
      <c r="B235" s="49"/>
      <c r="C235" s="24" t="s">
        <v>553</v>
      </c>
      <c r="D235" s="90" t="s">
        <v>554</v>
      </c>
      <c r="E235" s="24" t="s">
        <v>63</v>
      </c>
      <c r="F235" s="84">
        <v>315825.67049808428</v>
      </c>
      <c r="G235" s="338">
        <v>1.044</v>
      </c>
      <c r="H235" s="24" t="s">
        <v>548</v>
      </c>
      <c r="I235" s="84">
        <f t="shared" si="39"/>
        <v>329722</v>
      </c>
      <c r="J235" s="107">
        <v>329722</v>
      </c>
      <c r="K235" s="108">
        <v>19595</v>
      </c>
      <c r="L235" s="24"/>
    </row>
    <row r="236" spans="1:12" ht="12.75" customHeight="1" x14ac:dyDescent="0.2">
      <c r="A236" s="49"/>
      <c r="B236" s="49"/>
      <c r="C236" s="24" t="s">
        <v>555</v>
      </c>
      <c r="D236" s="90" t="s">
        <v>556</v>
      </c>
      <c r="E236" s="24" t="s">
        <v>63</v>
      </c>
      <c r="F236" s="84">
        <v>274061.30268199235</v>
      </c>
      <c r="G236" s="338">
        <v>1.044</v>
      </c>
      <c r="H236" s="24" t="s">
        <v>548</v>
      </c>
      <c r="I236" s="84">
        <f t="shared" si="39"/>
        <v>286120</v>
      </c>
      <c r="J236" s="107">
        <v>286121</v>
      </c>
      <c r="K236" s="108">
        <v>17004</v>
      </c>
      <c r="L236" s="24"/>
    </row>
    <row r="237" spans="1:12" ht="12.75" customHeight="1" x14ac:dyDescent="0.2">
      <c r="A237" s="49"/>
      <c r="B237" s="49"/>
      <c r="C237" s="24" t="s">
        <v>557</v>
      </c>
      <c r="D237" s="90" t="s">
        <v>558</v>
      </c>
      <c r="E237" s="24" t="s">
        <v>63</v>
      </c>
      <c r="F237" s="84">
        <v>417124.5210727969</v>
      </c>
      <c r="G237" s="338">
        <v>1.044</v>
      </c>
      <c r="H237" s="24" t="s">
        <v>546</v>
      </c>
      <c r="I237" s="84">
        <f t="shared" si="39"/>
        <v>435478</v>
      </c>
      <c r="J237" s="107">
        <v>435478</v>
      </c>
      <c r="K237" s="108">
        <v>25880</v>
      </c>
      <c r="L237" s="24"/>
    </row>
    <row r="238" spans="1:12" ht="12.75" customHeight="1" x14ac:dyDescent="0.2">
      <c r="A238" s="49"/>
      <c r="B238" s="221"/>
      <c r="C238" s="62"/>
      <c r="D238" s="24"/>
      <c r="E238" s="24"/>
      <c r="F238" s="109">
        <f>SUM(F234:F237)</f>
        <v>1324201.1494252873</v>
      </c>
      <c r="G238" s="84"/>
      <c r="H238" s="24"/>
      <c r="I238" s="24"/>
      <c r="J238" s="109">
        <f t="shared" ref="J238:K238" si="40">SUM(J234:J237)</f>
        <v>1382467</v>
      </c>
      <c r="K238" s="112">
        <f t="shared" si="40"/>
        <v>82158</v>
      </c>
      <c r="L238" s="24"/>
    </row>
    <row r="239" spans="1:12" ht="12.75" customHeight="1" x14ac:dyDescent="0.2">
      <c r="A239" s="49"/>
      <c r="B239" s="221"/>
      <c r="C239" s="62"/>
      <c r="D239" s="24"/>
      <c r="E239" s="24"/>
      <c r="F239" s="109"/>
      <c r="G239" s="84"/>
      <c r="H239" s="24"/>
      <c r="I239" s="24"/>
      <c r="J239" s="24"/>
      <c r="K239" s="108"/>
      <c r="L239" s="24"/>
    </row>
    <row r="240" spans="1:12" ht="12.75" customHeight="1" x14ac:dyDescent="0.2">
      <c r="A240" s="49"/>
      <c r="B240" s="221"/>
      <c r="C240" s="62" t="s">
        <v>191</v>
      </c>
      <c r="D240" s="90" t="s">
        <v>193</v>
      </c>
      <c r="E240" s="24" t="s">
        <v>63</v>
      </c>
      <c r="F240" s="109"/>
      <c r="G240" s="84"/>
      <c r="H240" s="24"/>
      <c r="I240" s="24"/>
      <c r="J240" s="107">
        <v>131127.74895404352</v>
      </c>
      <c r="K240" s="108">
        <v>7672.2764339655105</v>
      </c>
      <c r="L240" s="24"/>
    </row>
    <row r="241" spans="1:12" ht="12.75" customHeight="1" x14ac:dyDescent="0.2">
      <c r="A241" s="49"/>
      <c r="B241" s="221"/>
      <c r="C241" s="62"/>
      <c r="D241" s="24"/>
      <c r="E241" s="24"/>
      <c r="F241" s="109"/>
      <c r="G241" s="84"/>
      <c r="H241" s="24"/>
      <c r="I241" s="24"/>
      <c r="J241" s="84"/>
      <c r="K241" s="108"/>
      <c r="L241" s="24"/>
    </row>
    <row r="242" spans="1:12" ht="12.75" customHeight="1" x14ac:dyDescent="0.2">
      <c r="A242" s="49"/>
      <c r="B242" s="221"/>
      <c r="C242" s="62"/>
      <c r="D242" s="24"/>
      <c r="E242" s="24"/>
      <c r="F242" s="109"/>
      <c r="G242" s="84"/>
      <c r="H242" s="24"/>
      <c r="I242" s="24"/>
      <c r="J242" s="84"/>
      <c r="K242" s="108"/>
      <c r="L242" s="24"/>
    </row>
    <row r="243" spans="1:12" ht="12.75" customHeight="1" x14ac:dyDescent="0.2">
      <c r="A243" s="49"/>
      <c r="B243" s="221"/>
      <c r="C243" s="62" t="s">
        <v>559</v>
      </c>
      <c r="D243" s="24"/>
      <c r="E243" s="24" t="s">
        <v>560</v>
      </c>
      <c r="F243" s="109"/>
      <c r="G243" s="84"/>
      <c r="H243" s="24"/>
      <c r="I243" s="24"/>
      <c r="J243" s="107">
        <v>10667544.356418801</v>
      </c>
      <c r="K243" s="108">
        <v>2911339.3126537916</v>
      </c>
      <c r="L243" s="24"/>
    </row>
    <row r="244" spans="1:12" ht="12.75" customHeight="1" x14ac:dyDescent="0.2">
      <c r="A244" s="49"/>
      <c r="B244" s="221"/>
      <c r="C244" s="62"/>
      <c r="D244" s="24"/>
      <c r="E244" s="24" t="s">
        <v>63</v>
      </c>
      <c r="F244" s="109"/>
      <c r="G244" s="84"/>
      <c r="H244" s="24"/>
      <c r="I244" s="24"/>
      <c r="J244" s="107">
        <v>1288772.9418088738</v>
      </c>
      <c r="K244" s="108">
        <v>76940.116313545397</v>
      </c>
      <c r="L244" s="24"/>
    </row>
    <row r="245" spans="1:12" ht="12.75" customHeight="1" x14ac:dyDescent="0.2">
      <c r="A245" s="49"/>
      <c r="B245" s="221"/>
      <c r="C245" s="62"/>
      <c r="D245" s="24"/>
      <c r="E245" s="24"/>
      <c r="F245" s="109"/>
      <c r="G245" s="84"/>
      <c r="H245" s="24"/>
      <c r="I245" s="24"/>
      <c r="J245" s="109">
        <f t="shared" ref="J245:K245" si="41">SUM(J243:J244)</f>
        <v>11956317.298227675</v>
      </c>
      <c r="K245" s="112">
        <f t="shared" si="41"/>
        <v>2988279.4289673371</v>
      </c>
      <c r="L245" s="24"/>
    </row>
    <row r="246" spans="1:12" ht="12.75" customHeight="1" x14ac:dyDescent="0.2">
      <c r="A246" s="49"/>
      <c r="B246" s="221"/>
      <c r="C246" s="62"/>
      <c r="D246" s="24"/>
      <c r="E246" s="24"/>
      <c r="F246" s="109"/>
      <c r="G246" s="84"/>
      <c r="H246" s="24"/>
      <c r="I246" s="24"/>
      <c r="J246" s="24"/>
      <c r="K246" s="108"/>
      <c r="L246" s="24"/>
    </row>
    <row r="247" spans="1:12" ht="12.75" customHeight="1" x14ac:dyDescent="0.2">
      <c r="A247" s="49"/>
      <c r="B247" s="221"/>
      <c r="C247" s="62"/>
      <c r="D247" s="24"/>
      <c r="E247" s="24"/>
      <c r="F247" s="109"/>
      <c r="G247" s="84"/>
      <c r="H247" s="24"/>
      <c r="I247" s="24"/>
      <c r="J247" s="24"/>
      <c r="K247" s="108"/>
      <c r="L247" s="24"/>
    </row>
    <row r="248" spans="1:12" ht="12.75" customHeight="1" x14ac:dyDescent="0.2">
      <c r="A248" s="49"/>
      <c r="B248" s="221"/>
      <c r="C248" s="62"/>
      <c r="D248" s="24"/>
      <c r="E248" s="24"/>
      <c r="F248" s="109"/>
      <c r="G248" s="84"/>
      <c r="H248" s="24"/>
      <c r="I248" s="24"/>
      <c r="J248" s="24"/>
      <c r="K248" s="108"/>
      <c r="L248" s="24"/>
    </row>
    <row r="249" spans="1:12" ht="11.25" customHeight="1" x14ac:dyDescent="0.2">
      <c r="A249" s="49"/>
      <c r="B249" s="49"/>
      <c r="C249" s="24"/>
      <c r="D249" s="24"/>
      <c r="E249" s="24"/>
      <c r="F249" s="24"/>
      <c r="G249" s="24"/>
      <c r="H249" s="24"/>
      <c r="I249" s="24"/>
      <c r="J249" s="24"/>
      <c r="K249" s="86"/>
      <c r="L249" s="24"/>
    </row>
    <row r="250" spans="1:12" ht="12.75" customHeight="1" x14ac:dyDescent="0.2">
      <c r="A250" s="49"/>
      <c r="B250" s="49"/>
      <c r="C250" s="24"/>
      <c r="D250" s="24"/>
      <c r="E250" s="24"/>
      <c r="F250" s="24"/>
      <c r="G250" s="24"/>
      <c r="H250" s="353" t="s">
        <v>562</v>
      </c>
      <c r="I250" s="354"/>
      <c r="J250" s="356">
        <f t="shared" ref="J250:K250" si="42">J245+J240+J238+J231+J227+J222+J218+J214+J206+J203+J200</f>
        <v>29554406.047181718</v>
      </c>
      <c r="K250" s="357">
        <f t="shared" si="42"/>
        <v>4011553.7054013028</v>
      </c>
      <c r="L250" s="24"/>
    </row>
    <row r="251" spans="1:12" ht="12" customHeight="1" x14ac:dyDescent="0.2">
      <c r="A251" s="24"/>
      <c r="B251" s="154"/>
      <c r="C251" s="155"/>
      <c r="D251" s="155"/>
      <c r="E251" s="155"/>
      <c r="F251" s="155"/>
      <c r="G251" s="155"/>
      <c r="H251" s="155"/>
      <c r="I251" s="155"/>
      <c r="J251" s="155"/>
      <c r="K251" s="156"/>
      <c r="L251" s="24"/>
    </row>
    <row r="252" spans="1:12" ht="12" customHeight="1" x14ac:dyDescent="0.2"/>
    <row r="253" spans="1:12" ht="11.25" customHeight="1" x14ac:dyDescent="0.2"/>
    <row r="254" spans="1:12" ht="11.25" customHeight="1" x14ac:dyDescent="0.2"/>
    <row r="255" spans="1:12" ht="21" customHeight="1" x14ac:dyDescent="0.35">
      <c r="B255" s="18" t="s">
        <v>565</v>
      </c>
    </row>
    <row r="256" spans="1:12" ht="21" customHeight="1" x14ac:dyDescent="0.35">
      <c r="B256" s="18" t="s">
        <v>566</v>
      </c>
    </row>
    <row r="257" spans="2:7" ht="12" customHeight="1" x14ac:dyDescent="0.2"/>
    <row r="258" spans="2:7" ht="15" customHeight="1" x14ac:dyDescent="0.25">
      <c r="B258" s="359"/>
      <c r="C258" s="360" t="s">
        <v>567</v>
      </c>
      <c r="D258" s="360" t="s">
        <v>568</v>
      </c>
      <c r="E258" s="360" t="s">
        <v>569</v>
      </c>
      <c r="F258" s="360" t="s">
        <v>570</v>
      </c>
      <c r="G258" s="361" t="s">
        <v>571</v>
      </c>
    </row>
    <row r="259" spans="2:7" ht="15" customHeight="1" x14ac:dyDescent="0.25">
      <c r="B259" s="362"/>
      <c r="C259" s="363"/>
      <c r="D259" s="363" t="s">
        <v>227</v>
      </c>
      <c r="E259" s="363" t="s">
        <v>572</v>
      </c>
      <c r="F259" s="363" t="s">
        <v>573</v>
      </c>
      <c r="G259" s="364" t="s">
        <v>574</v>
      </c>
    </row>
    <row r="260" spans="2:7" ht="12.75" customHeight="1" x14ac:dyDescent="0.2">
      <c r="B260" s="365"/>
      <c r="C260" s="366"/>
      <c r="D260" s="366"/>
      <c r="E260" s="366"/>
      <c r="F260" s="366"/>
      <c r="G260" s="367"/>
    </row>
    <row r="261" spans="2:7" ht="12.75" customHeight="1" x14ac:dyDescent="0.2">
      <c r="B261" s="368" t="s">
        <v>40</v>
      </c>
      <c r="C261" s="369">
        <f t="shared" ref="C261:D261" si="43">J49</f>
        <v>302014703.30619174</v>
      </c>
      <c r="D261" s="369">
        <f t="shared" si="43"/>
        <v>31008128.160822824</v>
      </c>
      <c r="E261" s="369">
        <f>D261*0.9072</f>
        <v>28130573.867498465</v>
      </c>
      <c r="F261" s="372">
        <f>E261/1000000</f>
        <v>28.130573867498466</v>
      </c>
      <c r="G261" s="374">
        <f>F261*(12/44)</f>
        <v>7.6719746911359445</v>
      </c>
    </row>
    <row r="262" spans="2:7" ht="12.75" customHeight="1" x14ac:dyDescent="0.2">
      <c r="B262" s="376"/>
      <c r="C262" s="378"/>
      <c r="D262" s="378"/>
      <c r="E262" s="379"/>
      <c r="F262" s="380"/>
      <c r="G262" s="381"/>
    </row>
    <row r="263" spans="2:7" ht="12.75" customHeight="1" x14ac:dyDescent="0.2">
      <c r="B263" s="376" t="s">
        <v>74</v>
      </c>
      <c r="C263" s="379">
        <f t="shared" ref="C263:D263" si="44">J168</f>
        <v>2537117.1729954593</v>
      </c>
      <c r="D263" s="379">
        <f t="shared" si="44"/>
        <v>212276.2098544967</v>
      </c>
      <c r="E263" s="379">
        <f>D263*0.9072</f>
        <v>192576.97757999939</v>
      </c>
      <c r="F263" s="380">
        <f>E263/1000000</f>
        <v>0.19257697757999939</v>
      </c>
      <c r="G263" s="381">
        <f>F263*(12/44)</f>
        <v>5.2520993885454378E-2</v>
      </c>
    </row>
    <row r="264" spans="2:7" ht="12.75" customHeight="1" x14ac:dyDescent="0.2">
      <c r="B264" s="376"/>
      <c r="C264" s="378"/>
      <c r="D264" s="378"/>
      <c r="E264" s="379"/>
      <c r="F264" s="380"/>
      <c r="G264" s="381"/>
    </row>
    <row r="265" spans="2:7" ht="12.75" customHeight="1" x14ac:dyDescent="0.2">
      <c r="B265" s="376" t="s">
        <v>63</v>
      </c>
      <c r="C265" s="379">
        <f t="shared" ref="C265:D265" si="45">J250</f>
        <v>29554406.047181718</v>
      </c>
      <c r="D265" s="379">
        <f t="shared" si="45"/>
        <v>4011553.7054013028</v>
      </c>
      <c r="E265" s="379">
        <f>D265*0.9072</f>
        <v>3639281.521540062</v>
      </c>
      <c r="F265" s="380">
        <f>E265/1000000</f>
        <v>3.6392815215400622</v>
      </c>
      <c r="G265" s="381">
        <f>F265*(12/44)</f>
        <v>0.99253132405638056</v>
      </c>
    </row>
    <row r="266" spans="2:7" ht="12.75" customHeight="1" x14ac:dyDescent="0.2">
      <c r="B266" s="385"/>
      <c r="C266" s="388"/>
      <c r="D266" s="388"/>
      <c r="E266" s="389"/>
      <c r="F266" s="390"/>
      <c r="G266" s="392"/>
    </row>
    <row r="267" spans="2:7" ht="12.75" customHeight="1" x14ac:dyDescent="0.2">
      <c r="B267" s="393" t="s">
        <v>95</v>
      </c>
      <c r="C267" s="58"/>
      <c r="D267" s="389">
        <f t="shared" ref="D267:E267" si="46">SUM(D261:D266)</f>
        <v>35231958.076078624</v>
      </c>
      <c r="E267" s="389">
        <f t="shared" si="46"/>
        <v>31962432.366618525</v>
      </c>
      <c r="F267" s="390">
        <f>E267/1000000</f>
        <v>31.962432366618525</v>
      </c>
      <c r="G267" s="392">
        <f>SUM(G261:G266)</f>
        <v>8.7170270090777802</v>
      </c>
    </row>
    <row r="268" spans="2:7" ht="12" customHeight="1" x14ac:dyDescent="0.2">
      <c r="B268" s="394"/>
      <c r="C268" s="395"/>
      <c r="D268" s="395"/>
      <c r="E268" s="395"/>
      <c r="F268" s="395"/>
      <c r="G268" s="396"/>
    </row>
    <row r="269" spans="2:7" ht="12" customHeight="1" x14ac:dyDescent="0.2"/>
    <row r="270" spans="2:7" ht="11.25" customHeight="1" x14ac:dyDescent="0.2"/>
    <row r="271" spans="2:7" ht="11.25" customHeight="1" x14ac:dyDescent="0.2"/>
    <row r="272" spans="2:7" ht="11.25" customHeight="1" x14ac:dyDescent="0.2"/>
    <row r="273" spans="2:10" ht="21" customHeight="1" x14ac:dyDescent="0.35">
      <c r="B273" s="18" t="s">
        <v>583</v>
      </c>
    </row>
    <row r="274" spans="2:10" ht="21" customHeight="1" x14ac:dyDescent="0.35">
      <c r="B274" s="18" t="s">
        <v>566</v>
      </c>
      <c r="I274" s="1769" t="s">
        <v>1</v>
      </c>
      <c r="J274" s="1759"/>
    </row>
    <row r="275" spans="2:10" ht="11.25" customHeight="1" x14ac:dyDescent="0.2">
      <c r="I275" s="235"/>
      <c r="J275" s="235"/>
    </row>
    <row r="276" spans="2:10" ht="21" customHeight="1" x14ac:dyDescent="0.4">
      <c r="B276" s="399" t="s">
        <v>584</v>
      </c>
      <c r="C276" s="2"/>
      <c r="D276" s="2"/>
      <c r="E276" s="399">
        <v>2006</v>
      </c>
      <c r="F276" s="2"/>
      <c r="G276" s="2"/>
      <c r="I276" s="240" t="s">
        <v>433</v>
      </c>
      <c r="J276" s="241">
        <f>Summary!E4</f>
        <v>1</v>
      </c>
    </row>
    <row r="277" spans="2:10" ht="13.5" customHeight="1" x14ac:dyDescent="0.25">
      <c r="B277" s="289"/>
      <c r="C277" s="2"/>
      <c r="D277" s="2"/>
      <c r="E277" s="289"/>
      <c r="F277" s="2"/>
      <c r="G277" s="2"/>
      <c r="I277" s="240" t="s">
        <v>438</v>
      </c>
      <c r="J277" s="241">
        <f>Summary!E5</f>
        <v>27.9</v>
      </c>
    </row>
    <row r="278" spans="2:10" ht="17.25" customHeight="1" x14ac:dyDescent="0.35">
      <c r="B278" s="402"/>
      <c r="C278" s="403" t="s">
        <v>351</v>
      </c>
      <c r="D278" s="404" t="s">
        <v>354</v>
      </c>
      <c r="E278" s="404" t="s">
        <v>356</v>
      </c>
      <c r="F278" s="403" t="s">
        <v>414</v>
      </c>
      <c r="G278" s="405" t="s">
        <v>356</v>
      </c>
      <c r="I278" s="240" t="s">
        <v>444</v>
      </c>
      <c r="J278" s="241">
        <f>Summary!E6</f>
        <v>273</v>
      </c>
    </row>
    <row r="279" spans="2:10" ht="16.5" customHeight="1" x14ac:dyDescent="0.35">
      <c r="B279" s="406" t="s">
        <v>20</v>
      </c>
      <c r="C279" s="407" t="s">
        <v>362</v>
      </c>
      <c r="D279" s="408" t="s">
        <v>418</v>
      </c>
      <c r="E279" s="408" t="s">
        <v>419</v>
      </c>
      <c r="F279" s="407"/>
      <c r="G279" s="409" t="s">
        <v>585</v>
      </c>
      <c r="I279" s="240" t="s">
        <v>447</v>
      </c>
      <c r="J279" s="247">
        <f>Summary!E7</f>
        <v>24300</v>
      </c>
    </row>
    <row r="280" spans="2:10" ht="15" customHeight="1" x14ac:dyDescent="0.3">
      <c r="B280" s="410" t="s">
        <v>40</v>
      </c>
      <c r="C280" s="411">
        <f>J49/1000</f>
        <v>302014.70330619172</v>
      </c>
      <c r="D280" s="412">
        <v>1.0023030599890001E-3</v>
      </c>
      <c r="E280" s="413">
        <f t="shared" ref="E280:E283" si="47">C280*D280</f>
        <v>302.71026128546595</v>
      </c>
      <c r="F280" s="379">
        <f t="shared" ref="F280:F283" si="48">$J$277</f>
        <v>27.9</v>
      </c>
      <c r="G280" s="414">
        <f t="shared" ref="G280:G283" si="49">E280*F280/1000000</f>
        <v>8.4456162898645E-3</v>
      </c>
      <c r="I280" s="240"/>
      <c r="J280" s="247"/>
    </row>
    <row r="281" spans="2:10" ht="15" customHeight="1" x14ac:dyDescent="0.3">
      <c r="B281" s="410" t="s">
        <v>383</v>
      </c>
      <c r="C281" s="411">
        <f>J131/1000</f>
        <v>812.9557260687302</v>
      </c>
      <c r="D281" s="412">
        <v>3.006909179967E-3</v>
      </c>
      <c r="E281" s="413">
        <f t="shared" si="47"/>
        <v>2.4444840356228026</v>
      </c>
      <c r="F281" s="379">
        <f t="shared" si="48"/>
        <v>27.9</v>
      </c>
      <c r="G281" s="414">
        <f t="shared" si="49"/>
        <v>6.8201104593876196E-5</v>
      </c>
    </row>
    <row r="282" spans="2:10" ht="15" customHeight="1" x14ac:dyDescent="0.3">
      <c r="B282" s="410" t="s">
        <v>392</v>
      </c>
      <c r="C282" s="411">
        <f>J165/1000</f>
        <v>1405.797446926729</v>
      </c>
      <c r="D282" s="412">
        <v>3.006909179967E-3</v>
      </c>
      <c r="E282" s="413">
        <f t="shared" si="47"/>
        <v>4.2271052483381526</v>
      </c>
      <c r="F282" s="379">
        <f t="shared" si="48"/>
        <v>27.9</v>
      </c>
      <c r="G282" s="414">
        <f t="shared" si="49"/>
        <v>1.1793623642863445E-4</v>
      </c>
    </row>
    <row r="283" spans="2:10" ht="15" customHeight="1" x14ac:dyDescent="0.3">
      <c r="B283" s="410" t="s">
        <v>63</v>
      </c>
      <c r="C283" s="411">
        <f>J250/1000</f>
        <v>29554.406047181717</v>
      </c>
      <c r="D283" s="412">
        <v>9.4955026735800007E-4</v>
      </c>
      <c r="E283" s="413">
        <f t="shared" si="47"/>
        <v>28.063394163708292</v>
      </c>
      <c r="F283" s="379">
        <f t="shared" si="48"/>
        <v>27.9</v>
      </c>
      <c r="G283" s="414">
        <f t="shared" si="49"/>
        <v>7.8296869716746134E-4</v>
      </c>
    </row>
    <row r="284" spans="2:10" ht="17.25" customHeight="1" x14ac:dyDescent="0.35">
      <c r="B284" s="415"/>
      <c r="C284" s="416"/>
      <c r="D284" s="416"/>
      <c r="E284" s="416"/>
      <c r="F284" s="417" t="s">
        <v>95</v>
      </c>
      <c r="G284" s="418">
        <f>SUM(G280:G283)</f>
        <v>9.4147223280544711E-3</v>
      </c>
    </row>
    <row r="285" spans="2:10" ht="12" customHeight="1" x14ac:dyDescent="0.2"/>
    <row r="286" spans="2:10" ht="21" customHeight="1" x14ac:dyDescent="0.35">
      <c r="B286" s="18" t="s">
        <v>587</v>
      </c>
    </row>
    <row r="287" spans="2:10" ht="21" customHeight="1" x14ac:dyDescent="0.35">
      <c r="B287" s="18" t="s">
        <v>566</v>
      </c>
    </row>
    <row r="288" spans="2:10" ht="21" customHeight="1" x14ac:dyDescent="0.4">
      <c r="B288" s="11" t="s">
        <v>588</v>
      </c>
      <c r="C288" s="2"/>
      <c r="D288" s="2"/>
      <c r="E288" s="399">
        <v>2006</v>
      </c>
      <c r="F288" s="2"/>
      <c r="G288" s="2"/>
    </row>
    <row r="289" spans="2:7" ht="13.5" customHeight="1" x14ac:dyDescent="0.25">
      <c r="B289" s="288"/>
      <c r="C289" s="2"/>
      <c r="D289" s="2"/>
      <c r="E289" s="289"/>
      <c r="F289" s="2"/>
      <c r="G289" s="2"/>
    </row>
    <row r="290" spans="2:7" ht="17.25" customHeight="1" x14ac:dyDescent="0.35">
      <c r="B290" s="419"/>
      <c r="C290" s="420" t="s">
        <v>351</v>
      </c>
      <c r="D290" s="421" t="s">
        <v>354</v>
      </c>
      <c r="E290" s="421" t="s">
        <v>460</v>
      </c>
      <c r="F290" s="420" t="s">
        <v>414</v>
      </c>
      <c r="G290" s="422" t="s">
        <v>356</v>
      </c>
    </row>
    <row r="291" spans="2:7" ht="16.5" customHeight="1" x14ac:dyDescent="0.35">
      <c r="B291" s="424" t="s">
        <v>20</v>
      </c>
      <c r="C291" s="426" t="s">
        <v>362</v>
      </c>
      <c r="D291" s="428" t="s">
        <v>463</v>
      </c>
      <c r="E291" s="428" t="s">
        <v>464</v>
      </c>
      <c r="F291" s="426"/>
      <c r="G291" s="430" t="s">
        <v>590</v>
      </c>
    </row>
    <row r="292" spans="2:7" ht="15" customHeight="1" x14ac:dyDescent="0.3">
      <c r="B292" s="431" t="s">
        <v>40</v>
      </c>
      <c r="C292" s="411">
        <f t="shared" ref="C292:C295" si="50">C280</f>
        <v>302014.70330619172</v>
      </c>
      <c r="D292" s="412">
        <v>1.5034545899835E-3</v>
      </c>
      <c r="E292" s="413">
        <f t="shared" ref="E292:E295" si="51">C292*D292</f>
        <v>454.06539192819884</v>
      </c>
      <c r="F292" s="379">
        <f t="shared" ref="F292:F295" si="52">$J$278</f>
        <v>273</v>
      </c>
      <c r="G292" s="414">
        <f t="shared" ref="G292:G295" si="53">E292*F292/1000000</f>
        <v>0.12395985199639828</v>
      </c>
    </row>
    <row r="293" spans="2:7" ht="15" customHeight="1" x14ac:dyDescent="0.3">
      <c r="B293" s="431" t="s">
        <v>383</v>
      </c>
      <c r="C293" s="411">
        <f t="shared" si="50"/>
        <v>812.9557260687302</v>
      </c>
      <c r="D293" s="412">
        <v>6.0138183599339984E-4</v>
      </c>
      <c r="E293" s="413">
        <f t="shared" si="51"/>
        <v>0.48889680712456041</v>
      </c>
      <c r="F293" s="379">
        <f t="shared" si="52"/>
        <v>273</v>
      </c>
      <c r="G293" s="414">
        <f t="shared" si="53"/>
        <v>1.3346882834500501E-4</v>
      </c>
    </row>
    <row r="294" spans="2:7" ht="15" customHeight="1" x14ac:dyDescent="0.3">
      <c r="B294" s="431" t="s">
        <v>392</v>
      </c>
      <c r="C294" s="411">
        <f t="shared" si="50"/>
        <v>1405.797446926729</v>
      </c>
      <c r="D294" s="412">
        <v>6.0138183599339984E-4</v>
      </c>
      <c r="E294" s="413">
        <f t="shared" si="51"/>
        <v>0.84542104966763032</v>
      </c>
      <c r="F294" s="379">
        <f t="shared" si="52"/>
        <v>273</v>
      </c>
      <c r="G294" s="414">
        <f t="shared" si="53"/>
        <v>2.3079994655926308E-4</v>
      </c>
    </row>
    <row r="295" spans="2:7" ht="15" customHeight="1" x14ac:dyDescent="0.3">
      <c r="B295" s="431" t="s">
        <v>63</v>
      </c>
      <c r="C295" s="411">
        <f t="shared" si="50"/>
        <v>29554.406047181717</v>
      </c>
      <c r="D295" s="412">
        <v>9.4955026735800017E-5</v>
      </c>
      <c r="E295" s="413">
        <f t="shared" si="51"/>
        <v>2.8063394163708297</v>
      </c>
      <c r="F295" s="379">
        <f t="shared" si="52"/>
        <v>273</v>
      </c>
      <c r="G295" s="414">
        <f t="shared" si="53"/>
        <v>7.6613066066923651E-4</v>
      </c>
    </row>
    <row r="296" spans="2:7" ht="17.25" customHeight="1" x14ac:dyDescent="0.35">
      <c r="B296" s="442"/>
      <c r="C296" s="416"/>
      <c r="D296" s="416"/>
      <c r="E296" s="416"/>
      <c r="F296" s="417" t="s">
        <v>95</v>
      </c>
      <c r="G296" s="418">
        <f>SUM(G292:G295)</f>
        <v>0.12509025143197178</v>
      </c>
    </row>
    <row r="297" spans="2:7" ht="12" customHeight="1" x14ac:dyDescent="0.2">
      <c r="B297" s="24"/>
      <c r="C297" s="2"/>
      <c r="D297" s="2"/>
      <c r="E297" s="2"/>
      <c r="F297" s="297"/>
      <c r="G297" s="444"/>
    </row>
    <row r="298" spans="2:7" ht="11.25" customHeight="1" x14ac:dyDescent="0.2"/>
    <row r="299" spans="2:7" ht="21" customHeight="1" x14ac:dyDescent="0.35">
      <c r="B299" s="18" t="s">
        <v>592</v>
      </c>
      <c r="C299" s="2"/>
      <c r="D299" s="2"/>
      <c r="E299" s="2"/>
      <c r="F299" s="297"/>
      <c r="G299" s="444"/>
    </row>
    <row r="300" spans="2:7" ht="21" customHeight="1" x14ac:dyDescent="0.35">
      <c r="B300" s="18" t="s">
        <v>566</v>
      </c>
    </row>
    <row r="301" spans="2:7" ht="21" customHeight="1" x14ac:dyDescent="0.4">
      <c r="B301" s="11" t="s">
        <v>593</v>
      </c>
      <c r="C301" s="2"/>
      <c r="D301" s="2"/>
      <c r="E301" s="399">
        <v>2006</v>
      </c>
      <c r="F301" s="2"/>
      <c r="G301" s="2"/>
    </row>
    <row r="302" spans="2:7" ht="12" customHeight="1" x14ac:dyDescent="0.2"/>
    <row r="303" spans="2:7" ht="17.25" customHeight="1" x14ac:dyDescent="0.35">
      <c r="B303" s="446"/>
      <c r="C303" s="447"/>
      <c r="D303" s="448" t="s">
        <v>356</v>
      </c>
      <c r="E303" s="449" t="s">
        <v>356</v>
      </c>
      <c r="F303" s="449" t="s">
        <v>356</v>
      </c>
      <c r="G303" s="450" t="s">
        <v>356</v>
      </c>
    </row>
    <row r="304" spans="2:7" ht="16.5" customHeight="1" x14ac:dyDescent="0.35">
      <c r="B304" s="452"/>
      <c r="C304" s="453" t="s">
        <v>351</v>
      </c>
      <c r="D304" s="454" t="s">
        <v>594</v>
      </c>
      <c r="E304" s="455" t="s">
        <v>595</v>
      </c>
      <c r="F304" s="455" t="s">
        <v>596</v>
      </c>
      <c r="G304" s="456" t="s">
        <v>95</v>
      </c>
    </row>
    <row r="305" spans="2:7" ht="17.25" customHeight="1" x14ac:dyDescent="0.35">
      <c r="B305" s="457" t="s">
        <v>20</v>
      </c>
      <c r="C305" s="458" t="s">
        <v>362</v>
      </c>
      <c r="D305" s="454" t="s">
        <v>597</v>
      </c>
      <c r="E305" s="455" t="s">
        <v>598</v>
      </c>
      <c r="F305" s="455" t="s">
        <v>599</v>
      </c>
      <c r="G305" s="456" t="s">
        <v>600</v>
      </c>
    </row>
    <row r="306" spans="2:7" ht="15" customHeight="1" x14ac:dyDescent="0.3">
      <c r="B306" s="431" t="s">
        <v>40</v>
      </c>
      <c r="C306" s="459">
        <f t="shared" ref="C306:C309" si="54">C292</f>
        <v>302014.70330619172</v>
      </c>
      <c r="D306" s="462">
        <f>K49*0.9072/1000000</f>
        <v>28.130573867498466</v>
      </c>
      <c r="E306" s="465">
        <f t="shared" ref="E306:E309" si="55">G292</f>
        <v>0.12395985199639828</v>
      </c>
      <c r="F306" s="465">
        <f t="shared" ref="F306:F309" si="56">G280</f>
        <v>8.4456162898645E-3</v>
      </c>
      <c r="G306" s="469">
        <f t="shared" ref="G306:G309" si="57">D306+E306+F306</f>
        <v>28.262979335784731</v>
      </c>
    </row>
    <row r="307" spans="2:7" ht="15" customHeight="1" x14ac:dyDescent="0.3">
      <c r="B307" s="431" t="s">
        <v>383</v>
      </c>
      <c r="C307" s="411">
        <f t="shared" si="54"/>
        <v>812.9557260687302</v>
      </c>
      <c r="D307" s="471">
        <f>K131*0.9072/1000000</f>
        <v>6.7368344339167802E-2</v>
      </c>
      <c r="E307" s="472">
        <f t="shared" si="55"/>
        <v>1.3346882834500501E-4</v>
      </c>
      <c r="F307" s="472">
        <f t="shared" si="56"/>
        <v>6.8201104593876196E-5</v>
      </c>
      <c r="G307" s="473">
        <f t="shared" si="57"/>
        <v>6.7570014272106682E-2</v>
      </c>
    </row>
    <row r="308" spans="2:7" ht="15" customHeight="1" x14ac:dyDescent="0.3">
      <c r="B308" s="431" t="s">
        <v>392</v>
      </c>
      <c r="C308" s="411">
        <f t="shared" si="54"/>
        <v>1405.797446926729</v>
      </c>
      <c r="D308" s="471">
        <f>K165*0.9072/1000000</f>
        <v>0.10932356124083162</v>
      </c>
      <c r="E308" s="472">
        <f t="shared" si="55"/>
        <v>2.3079994655926308E-4</v>
      </c>
      <c r="F308" s="472">
        <f t="shared" si="56"/>
        <v>1.1793623642863445E-4</v>
      </c>
      <c r="G308" s="473">
        <f t="shared" si="57"/>
        <v>0.10967229742381952</v>
      </c>
    </row>
    <row r="309" spans="2:7" ht="15" customHeight="1" x14ac:dyDescent="0.3">
      <c r="B309" s="431" t="s">
        <v>63</v>
      </c>
      <c r="C309" s="411">
        <f t="shared" si="54"/>
        <v>29554.406047181717</v>
      </c>
      <c r="D309" s="471">
        <f>K250*0.9072/1000000</f>
        <v>3.6392815215400622</v>
      </c>
      <c r="E309" s="472">
        <f t="shared" si="55"/>
        <v>7.6613066066923651E-4</v>
      </c>
      <c r="F309" s="472">
        <f t="shared" si="56"/>
        <v>7.8296869716746134E-4</v>
      </c>
      <c r="G309" s="473">
        <f t="shared" si="57"/>
        <v>3.6408306208978991</v>
      </c>
    </row>
    <row r="310" spans="2:7" ht="17.25" customHeight="1" x14ac:dyDescent="0.35">
      <c r="B310" s="442"/>
      <c r="C310" s="479"/>
      <c r="D310" s="480">
        <f t="shared" ref="D310:F310" si="58">SUM(D306:D309)</f>
        <v>31.946547294618529</v>
      </c>
      <c r="E310" s="480">
        <f t="shared" si="58"/>
        <v>0.12509025143197178</v>
      </c>
      <c r="F310" s="481">
        <f t="shared" si="58"/>
        <v>9.4147223280544711E-3</v>
      </c>
      <c r="G310" s="482">
        <f>SUM(D310:F310)</f>
        <v>32.081052268378556</v>
      </c>
    </row>
    <row r="311" spans="2:7" ht="12" customHeight="1" x14ac:dyDescent="0.2"/>
    <row r="312" spans="2:7" ht="11.25" customHeight="1" x14ac:dyDescent="0.2"/>
    <row r="313" spans="2:7" ht="11.25" customHeight="1" x14ac:dyDescent="0.2"/>
    <row r="314" spans="2:7" ht="11.25" customHeight="1" x14ac:dyDescent="0.2"/>
    <row r="315" spans="2:7" ht="11.25" customHeight="1" x14ac:dyDescent="0.2"/>
    <row r="316" spans="2:7" ht="11.25" customHeight="1" x14ac:dyDescent="0.2"/>
    <row r="317" spans="2:7" ht="11.25" customHeight="1" x14ac:dyDescent="0.2"/>
    <row r="318" spans="2:7" ht="11.25" customHeight="1" x14ac:dyDescent="0.2"/>
    <row r="319" spans="2:7" ht="11.25" customHeight="1" x14ac:dyDescent="0.2"/>
    <row r="320" spans="2:7"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H49:I49"/>
    <mergeCell ref="H131:I131"/>
    <mergeCell ref="H168:I168"/>
    <mergeCell ref="I274:J274"/>
  </mergeCells>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3" topLeftCell="A4" activePane="bottomLeft" state="frozen"/>
      <selection pane="bottomLeft"/>
    </sheetView>
  </sheetViews>
  <sheetFormatPr defaultColWidth="16.83203125" defaultRowHeight="15" customHeight="1" x14ac:dyDescent="0.2"/>
  <cols>
    <col min="1" max="1" width="3.5" customWidth="1"/>
    <col min="2" max="2" width="17.5" customWidth="1"/>
    <col min="3" max="3" width="30.1640625" customWidth="1"/>
    <col min="4" max="4" width="23.5" customWidth="1"/>
    <col min="5" max="5" width="18" customWidth="1"/>
    <col min="6" max="6" width="18.83203125" customWidth="1"/>
    <col min="7" max="7" width="16.5" customWidth="1"/>
    <col min="8" max="8" width="24.1640625" customWidth="1"/>
    <col min="9" max="9" width="15.33203125" customWidth="1"/>
    <col min="10" max="10" width="16.5" customWidth="1"/>
    <col min="11" max="26" width="8" customWidth="1"/>
  </cols>
  <sheetData>
    <row r="1" spans="1:26" ht="33" customHeight="1" x14ac:dyDescent="0.45">
      <c r="A1" s="11" t="s">
        <v>10</v>
      </c>
      <c r="B1" s="13"/>
      <c r="C1" s="2"/>
      <c r="D1" s="2"/>
      <c r="E1" s="2"/>
      <c r="F1" s="2"/>
      <c r="G1" s="16"/>
      <c r="H1" s="2"/>
      <c r="I1" s="2"/>
      <c r="J1" s="2"/>
      <c r="K1" s="2"/>
      <c r="L1" s="2"/>
      <c r="M1" s="2"/>
      <c r="N1" s="2"/>
      <c r="O1" s="2"/>
      <c r="P1" s="2"/>
      <c r="Q1" s="2"/>
      <c r="R1" s="2"/>
      <c r="S1" s="2"/>
      <c r="T1" s="2"/>
      <c r="U1" s="2"/>
      <c r="V1" s="2"/>
      <c r="W1" s="2"/>
      <c r="X1" s="2"/>
      <c r="Y1" s="2"/>
      <c r="Z1" s="2"/>
    </row>
    <row r="2" spans="1:26" ht="135" customHeight="1" x14ac:dyDescent="0.2"/>
    <row r="3" spans="1:26" ht="25.5" customHeight="1" x14ac:dyDescent="0.2">
      <c r="A3" s="19"/>
      <c r="B3" s="23" t="s">
        <v>17</v>
      </c>
      <c r="C3" s="23" t="s">
        <v>19</v>
      </c>
      <c r="D3" s="23" t="s">
        <v>20</v>
      </c>
      <c r="E3" s="23" t="s">
        <v>21</v>
      </c>
      <c r="F3" s="23" t="s">
        <v>22</v>
      </c>
      <c r="G3" s="23" t="s">
        <v>23</v>
      </c>
      <c r="H3" s="23" t="s">
        <v>24</v>
      </c>
      <c r="I3" s="27" t="s">
        <v>25</v>
      </c>
      <c r="J3" s="29"/>
      <c r="K3" s="19"/>
      <c r="L3" s="19"/>
      <c r="M3" s="19"/>
      <c r="N3" s="19"/>
      <c r="O3" s="19"/>
      <c r="P3" s="19"/>
      <c r="Q3" s="19"/>
      <c r="R3" s="19"/>
      <c r="S3" s="19"/>
      <c r="T3" s="19"/>
      <c r="U3" s="19"/>
      <c r="V3" s="19"/>
      <c r="W3" s="19"/>
      <c r="X3" s="19"/>
      <c r="Y3" s="19"/>
      <c r="Z3" s="19"/>
    </row>
    <row r="4" spans="1:26" ht="12.75" customHeight="1" x14ac:dyDescent="0.2">
      <c r="A4" s="19"/>
      <c r="B4" s="23"/>
      <c r="C4" s="23"/>
      <c r="D4" s="23"/>
      <c r="E4" s="23"/>
      <c r="F4" s="23"/>
      <c r="G4" s="23"/>
      <c r="H4" s="23"/>
      <c r="I4" s="19"/>
      <c r="J4" s="29"/>
      <c r="K4" s="19"/>
      <c r="L4" s="19"/>
      <c r="M4" s="19"/>
      <c r="N4" s="19"/>
      <c r="O4" s="19"/>
      <c r="P4" s="19"/>
      <c r="Q4" s="19"/>
      <c r="R4" s="19"/>
      <c r="S4" s="19"/>
      <c r="T4" s="19"/>
      <c r="U4" s="19"/>
      <c r="V4" s="19"/>
      <c r="W4" s="19"/>
      <c r="X4" s="19"/>
      <c r="Y4" s="19"/>
      <c r="Z4" s="19"/>
    </row>
    <row r="5" spans="1:26" ht="21" customHeight="1" x14ac:dyDescent="0.35">
      <c r="A5" s="19"/>
      <c r="B5" s="18" t="s">
        <v>27</v>
      </c>
      <c r="C5" s="36"/>
      <c r="D5" s="19"/>
      <c r="E5" s="38"/>
      <c r="F5" s="19"/>
      <c r="G5" s="38"/>
      <c r="H5" s="19"/>
      <c r="I5" s="19"/>
      <c r="J5" s="19"/>
      <c r="K5" s="19"/>
      <c r="L5" s="19"/>
      <c r="M5" s="19"/>
      <c r="N5" s="19"/>
      <c r="O5" s="19"/>
      <c r="P5" s="19"/>
      <c r="Q5" s="19"/>
      <c r="R5" s="19"/>
      <c r="S5" s="19"/>
      <c r="T5" s="19"/>
      <c r="U5" s="19"/>
      <c r="V5" s="19"/>
      <c r="W5" s="19"/>
      <c r="X5" s="19"/>
      <c r="Y5" s="19"/>
      <c r="Z5" s="19"/>
    </row>
    <row r="6" spans="1:26" ht="12.75" customHeight="1" x14ac:dyDescent="0.2">
      <c r="A6" s="19"/>
      <c r="B6" s="1770" t="s">
        <v>29</v>
      </c>
      <c r="C6" s="1771"/>
      <c r="D6" s="19"/>
      <c r="E6" s="38"/>
      <c r="F6" s="19"/>
      <c r="G6" s="38"/>
      <c r="H6" s="19"/>
      <c r="I6" s="19"/>
      <c r="J6" s="19"/>
      <c r="K6" s="19"/>
      <c r="L6" s="19"/>
      <c r="M6" s="19"/>
      <c r="N6" s="19"/>
      <c r="O6" s="19"/>
      <c r="P6" s="19"/>
      <c r="Q6" s="19"/>
      <c r="R6" s="19"/>
      <c r="S6" s="19"/>
      <c r="T6" s="19"/>
      <c r="U6" s="19"/>
      <c r="V6" s="19"/>
      <c r="W6" s="19"/>
      <c r="X6" s="19"/>
      <c r="Y6" s="19"/>
      <c r="Z6" s="19"/>
    </row>
    <row r="7" spans="1:26" ht="12.75" customHeight="1" x14ac:dyDescent="0.2">
      <c r="A7" s="19"/>
      <c r="B7" s="19" t="s">
        <v>32</v>
      </c>
      <c r="C7" s="52" t="s">
        <v>33</v>
      </c>
      <c r="D7" s="19" t="s">
        <v>34</v>
      </c>
      <c r="E7" s="38">
        <v>25000</v>
      </c>
      <c r="F7" s="19" t="s">
        <v>35</v>
      </c>
      <c r="G7" s="38">
        <v>139</v>
      </c>
      <c r="H7" s="19" t="s">
        <v>37</v>
      </c>
      <c r="I7" s="38">
        <f t="shared" ref="I7:I9" si="0">(E7*G7)/1000</f>
        <v>3475</v>
      </c>
      <c r="J7" s="38"/>
      <c r="K7" s="19"/>
      <c r="L7" s="19"/>
      <c r="M7" s="19"/>
      <c r="N7" s="19"/>
      <c r="O7" s="19"/>
      <c r="P7" s="19"/>
      <c r="Q7" s="19"/>
      <c r="R7" s="19"/>
      <c r="S7" s="19"/>
      <c r="T7" s="19"/>
      <c r="U7" s="19"/>
      <c r="V7" s="19"/>
      <c r="W7" s="19"/>
      <c r="X7" s="19"/>
      <c r="Y7" s="19"/>
      <c r="Z7" s="19"/>
    </row>
    <row r="8" spans="1:26" ht="12.75" customHeight="1" x14ac:dyDescent="0.2">
      <c r="A8" s="19"/>
      <c r="B8" s="19" t="s">
        <v>44</v>
      </c>
      <c r="C8" s="52" t="s">
        <v>45</v>
      </c>
      <c r="D8" s="19" t="s">
        <v>34</v>
      </c>
      <c r="E8" s="38">
        <v>197000</v>
      </c>
      <c r="F8" s="19" t="s">
        <v>35</v>
      </c>
      <c r="G8" s="38">
        <v>139</v>
      </c>
      <c r="H8" s="19" t="s">
        <v>37</v>
      </c>
      <c r="I8" s="38">
        <f t="shared" si="0"/>
        <v>27383</v>
      </c>
      <c r="J8" s="38"/>
      <c r="K8" s="19"/>
      <c r="L8" s="19"/>
      <c r="M8" s="19"/>
      <c r="N8" s="19"/>
      <c r="O8" s="19"/>
      <c r="P8" s="19"/>
      <c r="Q8" s="19"/>
      <c r="R8" s="19"/>
      <c r="S8" s="19"/>
      <c r="T8" s="19"/>
      <c r="U8" s="19"/>
      <c r="V8" s="19"/>
      <c r="W8" s="19"/>
      <c r="X8" s="19"/>
      <c r="Y8" s="19"/>
      <c r="Z8" s="19"/>
    </row>
    <row r="9" spans="1:26" ht="12.75" customHeight="1" x14ac:dyDescent="0.2">
      <c r="A9" s="19"/>
      <c r="B9" s="19" t="s">
        <v>48</v>
      </c>
      <c r="C9" s="52" t="s">
        <v>49</v>
      </c>
      <c r="D9" s="19" t="s">
        <v>34</v>
      </c>
      <c r="E9" s="38">
        <v>129000</v>
      </c>
      <c r="F9" s="19" t="s">
        <v>35</v>
      </c>
      <c r="G9" s="38">
        <v>139</v>
      </c>
      <c r="H9" s="19" t="s">
        <v>37</v>
      </c>
      <c r="I9" s="38">
        <f t="shared" si="0"/>
        <v>17931</v>
      </c>
      <c r="J9" s="38"/>
      <c r="K9" s="19"/>
      <c r="L9" s="19"/>
      <c r="M9" s="19"/>
      <c r="N9" s="19"/>
      <c r="O9" s="19"/>
      <c r="P9" s="19"/>
      <c r="Q9" s="19"/>
      <c r="R9" s="19"/>
      <c r="S9" s="19"/>
      <c r="T9" s="19"/>
      <c r="U9" s="19"/>
      <c r="V9" s="19"/>
      <c r="W9" s="19"/>
      <c r="X9" s="19"/>
      <c r="Y9" s="19"/>
      <c r="Z9" s="19"/>
    </row>
    <row r="10" spans="1:26" ht="12.75" customHeight="1" x14ac:dyDescent="0.2">
      <c r="A10" s="19"/>
      <c r="B10" s="19"/>
      <c r="C10" s="19"/>
      <c r="D10" s="19"/>
      <c r="E10" s="38"/>
      <c r="F10" s="19"/>
      <c r="G10" s="38"/>
      <c r="H10" s="23" t="s">
        <v>53</v>
      </c>
      <c r="I10" s="88">
        <f>SUM(I7:I9)</f>
        <v>48789</v>
      </c>
      <c r="J10" s="38"/>
      <c r="K10" s="19"/>
      <c r="L10" s="19"/>
      <c r="M10" s="19"/>
      <c r="N10" s="19"/>
      <c r="O10" s="19"/>
      <c r="P10" s="19"/>
      <c r="Q10" s="19"/>
      <c r="R10" s="19"/>
      <c r="S10" s="19"/>
      <c r="T10" s="19"/>
      <c r="U10" s="19"/>
      <c r="V10" s="19"/>
      <c r="W10" s="19"/>
      <c r="X10" s="19"/>
      <c r="Y10" s="19"/>
      <c r="Z10" s="19"/>
    </row>
    <row r="11" spans="1:26" ht="12.75" customHeight="1" x14ac:dyDescent="0.2">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row>
    <row r="12" spans="1:26" ht="12.75" customHeight="1" x14ac:dyDescent="0.2">
      <c r="A12" s="19"/>
      <c r="B12" s="1770" t="s">
        <v>64</v>
      </c>
      <c r="C12" s="1771"/>
      <c r="D12" s="19"/>
      <c r="E12" s="38"/>
      <c r="F12" s="19"/>
      <c r="G12" s="38"/>
      <c r="H12" s="19"/>
      <c r="I12" s="19"/>
      <c r="J12" s="19"/>
      <c r="K12" s="19"/>
      <c r="L12" s="19"/>
      <c r="M12" s="19"/>
      <c r="N12" s="19"/>
      <c r="O12" s="19"/>
      <c r="P12" s="19"/>
      <c r="Q12" s="19"/>
      <c r="R12" s="19"/>
      <c r="S12" s="19"/>
      <c r="T12" s="19"/>
      <c r="U12" s="19"/>
      <c r="V12" s="19"/>
      <c r="W12" s="19"/>
      <c r="X12" s="19"/>
      <c r="Y12" s="19"/>
      <c r="Z12" s="19"/>
    </row>
    <row r="13" spans="1:26" ht="12.75" customHeight="1" x14ac:dyDescent="0.2">
      <c r="A13" s="19"/>
      <c r="B13" s="19" t="s">
        <v>67</v>
      </c>
      <c r="C13" s="19" t="s">
        <v>68</v>
      </c>
      <c r="D13" s="19" t="s">
        <v>69</v>
      </c>
      <c r="E13" s="38">
        <v>365000</v>
      </c>
      <c r="F13" s="19" t="s">
        <v>35</v>
      </c>
      <c r="G13" s="38">
        <v>139</v>
      </c>
      <c r="H13" s="19" t="s">
        <v>70</v>
      </c>
      <c r="I13" s="38">
        <f t="shared" ref="I13:I16" si="1">(E13*G13)/1000</f>
        <v>50735</v>
      </c>
      <c r="J13" s="38"/>
      <c r="K13" s="19"/>
      <c r="L13" s="19"/>
      <c r="M13" s="19"/>
      <c r="N13" s="19"/>
      <c r="O13" s="19"/>
      <c r="P13" s="19"/>
      <c r="Q13" s="19"/>
      <c r="R13" s="19"/>
      <c r="S13" s="19"/>
      <c r="T13" s="19"/>
      <c r="U13" s="19"/>
      <c r="V13" s="19"/>
      <c r="W13" s="19"/>
      <c r="X13" s="19"/>
      <c r="Y13" s="19"/>
      <c r="Z13" s="19"/>
    </row>
    <row r="14" spans="1:26" ht="12.75" customHeight="1" x14ac:dyDescent="0.2">
      <c r="A14" s="19"/>
      <c r="B14" s="19" t="s">
        <v>76</v>
      </c>
      <c r="C14" s="19" t="s">
        <v>77</v>
      </c>
      <c r="D14" s="19" t="s">
        <v>69</v>
      </c>
      <c r="E14" s="38">
        <v>351000</v>
      </c>
      <c r="F14" s="19" t="s">
        <v>35</v>
      </c>
      <c r="G14" s="38">
        <v>139</v>
      </c>
      <c r="H14" s="19" t="s">
        <v>70</v>
      </c>
      <c r="I14" s="38">
        <f t="shared" si="1"/>
        <v>48789</v>
      </c>
      <c r="J14" s="38"/>
      <c r="K14" s="19"/>
      <c r="L14" s="19"/>
      <c r="M14" s="19"/>
      <c r="N14" s="19"/>
      <c r="O14" s="19"/>
      <c r="P14" s="19"/>
      <c r="Q14" s="19"/>
      <c r="R14" s="19"/>
      <c r="S14" s="19"/>
      <c r="T14" s="19"/>
      <c r="U14" s="19"/>
      <c r="V14" s="19"/>
      <c r="W14" s="19"/>
      <c r="X14" s="19"/>
      <c r="Y14" s="19"/>
      <c r="Z14" s="19"/>
    </row>
    <row r="15" spans="1:26" ht="12.75" customHeight="1" x14ac:dyDescent="0.2">
      <c r="A15" s="19"/>
      <c r="B15" s="19" t="s">
        <v>81</v>
      </c>
      <c r="C15" s="19" t="s">
        <v>82</v>
      </c>
      <c r="D15" s="19" t="s">
        <v>69</v>
      </c>
      <c r="E15" s="38">
        <v>273000</v>
      </c>
      <c r="F15" s="19" t="s">
        <v>35</v>
      </c>
      <c r="G15" s="38">
        <v>139</v>
      </c>
      <c r="H15" s="19" t="s">
        <v>70</v>
      </c>
      <c r="I15" s="38">
        <f t="shared" si="1"/>
        <v>37947</v>
      </c>
      <c r="J15" s="38"/>
      <c r="K15" s="19"/>
      <c r="L15" s="19"/>
      <c r="M15" s="19"/>
      <c r="N15" s="19"/>
      <c r="O15" s="19"/>
      <c r="P15" s="19"/>
      <c r="Q15" s="19"/>
      <c r="R15" s="19"/>
      <c r="S15" s="19"/>
      <c r="T15" s="19"/>
      <c r="U15" s="19"/>
      <c r="V15" s="19"/>
      <c r="W15" s="19"/>
      <c r="X15" s="19"/>
      <c r="Y15" s="19"/>
      <c r="Z15" s="19"/>
    </row>
    <row r="16" spans="1:26" ht="12.75" customHeight="1" x14ac:dyDescent="0.2">
      <c r="A16" s="19"/>
      <c r="B16" s="19" t="s">
        <v>86</v>
      </c>
      <c r="C16" s="19" t="s">
        <v>87</v>
      </c>
      <c r="D16" s="19" t="s">
        <v>69</v>
      </c>
      <c r="E16" s="38">
        <v>251000</v>
      </c>
      <c r="F16" s="19" t="s">
        <v>35</v>
      </c>
      <c r="G16" s="38">
        <v>139</v>
      </c>
      <c r="H16" s="19" t="s">
        <v>70</v>
      </c>
      <c r="I16" s="38">
        <f t="shared" si="1"/>
        <v>34889</v>
      </c>
      <c r="J16" s="38"/>
      <c r="K16" s="19"/>
      <c r="L16" s="19"/>
      <c r="M16" s="19"/>
      <c r="N16" s="19"/>
      <c r="O16" s="19"/>
      <c r="P16" s="19"/>
      <c r="Q16" s="19"/>
      <c r="R16" s="19"/>
      <c r="S16" s="19"/>
      <c r="T16" s="19"/>
      <c r="U16" s="19"/>
      <c r="V16" s="19"/>
      <c r="W16" s="19"/>
      <c r="X16" s="19"/>
      <c r="Y16" s="19"/>
      <c r="Z16" s="19"/>
    </row>
    <row r="17" spans="1:26" ht="12.75" customHeight="1" x14ac:dyDescent="0.2">
      <c r="A17" s="19"/>
      <c r="B17" s="19"/>
      <c r="C17" s="19"/>
      <c r="D17" s="19"/>
      <c r="E17" s="38"/>
      <c r="F17" s="19"/>
      <c r="G17" s="38"/>
      <c r="H17" s="23" t="s">
        <v>53</v>
      </c>
      <c r="I17" s="88">
        <f>SUM(I13:I16)</f>
        <v>172360</v>
      </c>
      <c r="J17" s="38"/>
      <c r="K17" s="19"/>
      <c r="L17" s="19"/>
      <c r="M17" s="19"/>
      <c r="N17" s="19"/>
      <c r="O17" s="19"/>
      <c r="P17" s="19"/>
      <c r="Q17" s="19"/>
      <c r="R17" s="19"/>
      <c r="S17" s="19"/>
      <c r="T17" s="19"/>
      <c r="U17" s="19"/>
      <c r="V17" s="19"/>
      <c r="W17" s="19"/>
      <c r="X17" s="19"/>
      <c r="Y17" s="19"/>
      <c r="Z17" s="19"/>
    </row>
    <row r="18" spans="1:26" ht="12.75" customHeight="1"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2.75" customHeight="1" x14ac:dyDescent="0.2">
      <c r="A19" s="19"/>
      <c r="B19" s="1770" t="s">
        <v>94</v>
      </c>
      <c r="C19" s="1771"/>
      <c r="D19" s="23"/>
      <c r="E19" s="115"/>
      <c r="F19" s="19"/>
      <c r="G19" s="38"/>
      <c r="H19" s="19"/>
      <c r="I19" s="38"/>
      <c r="J19" s="38"/>
      <c r="K19" s="19"/>
      <c r="L19" s="19"/>
      <c r="M19" s="19"/>
      <c r="N19" s="19"/>
      <c r="O19" s="19"/>
      <c r="P19" s="19"/>
      <c r="Q19" s="19"/>
      <c r="R19" s="19"/>
      <c r="S19" s="19"/>
      <c r="T19" s="19"/>
      <c r="U19" s="19"/>
      <c r="V19" s="19"/>
      <c r="W19" s="19"/>
      <c r="X19" s="19"/>
      <c r="Y19" s="19"/>
      <c r="Z19" s="19"/>
    </row>
    <row r="20" spans="1:26" ht="12.75" customHeight="1" x14ac:dyDescent="0.2">
      <c r="A20" s="19"/>
      <c r="B20" s="19" t="s">
        <v>97</v>
      </c>
      <c r="C20" s="19" t="s">
        <v>99</v>
      </c>
      <c r="D20" s="19" t="s">
        <v>69</v>
      </c>
      <c r="E20" s="38">
        <v>134214</v>
      </c>
      <c r="F20" s="19" t="s">
        <v>35</v>
      </c>
      <c r="G20" s="38">
        <v>140983</v>
      </c>
      <c r="H20" s="19" t="s">
        <v>100</v>
      </c>
      <c r="I20" s="38">
        <f t="shared" ref="I20:I23" si="2">E20*G20/1000000</f>
        <v>18921.892361999999</v>
      </c>
      <c r="J20" s="38"/>
      <c r="K20" s="19"/>
      <c r="L20" s="19"/>
      <c r="M20" s="19"/>
      <c r="N20" s="19"/>
      <c r="O20" s="19"/>
      <c r="P20" s="19"/>
      <c r="Q20" s="19"/>
      <c r="R20" s="19"/>
      <c r="S20" s="19"/>
      <c r="T20" s="19"/>
      <c r="U20" s="19"/>
      <c r="V20" s="19"/>
      <c r="W20" s="19"/>
      <c r="X20" s="19"/>
      <c r="Y20" s="19"/>
      <c r="Z20" s="19"/>
    </row>
    <row r="21" spans="1:26" ht="12.75" customHeight="1" x14ac:dyDescent="0.2">
      <c r="A21" s="19"/>
      <c r="B21" s="19" t="s">
        <v>106</v>
      </c>
      <c r="C21" s="19" t="s">
        <v>107</v>
      </c>
      <c r="D21" s="19" t="s">
        <v>69</v>
      </c>
      <c r="E21" s="38">
        <v>141428</v>
      </c>
      <c r="F21" s="19" t="s">
        <v>35</v>
      </c>
      <c r="G21" s="38">
        <v>140983</v>
      </c>
      <c r="H21" s="19" t="s">
        <v>100</v>
      </c>
      <c r="I21" s="38">
        <f t="shared" si="2"/>
        <v>19938.943724000001</v>
      </c>
      <c r="J21" s="38"/>
      <c r="K21" s="19"/>
      <c r="L21" s="19"/>
      <c r="M21" s="19"/>
      <c r="N21" s="19"/>
      <c r="O21" s="19"/>
      <c r="P21" s="19"/>
      <c r="Q21" s="19"/>
      <c r="R21" s="19"/>
      <c r="S21" s="19"/>
      <c r="T21" s="19"/>
      <c r="U21" s="19"/>
      <c r="V21" s="19"/>
      <c r="W21" s="19"/>
      <c r="X21" s="19"/>
      <c r="Y21" s="19"/>
      <c r="Z21" s="19"/>
    </row>
    <row r="22" spans="1:26" ht="12.75" customHeight="1" x14ac:dyDescent="0.2">
      <c r="A22" s="19"/>
      <c r="B22" s="19" t="s">
        <v>110</v>
      </c>
      <c r="C22" s="19" t="s">
        <v>111</v>
      </c>
      <c r="D22" s="19" t="s">
        <v>69</v>
      </c>
      <c r="E22" s="38">
        <v>148690</v>
      </c>
      <c r="F22" s="19" t="s">
        <v>35</v>
      </c>
      <c r="G22" s="38">
        <v>140983</v>
      </c>
      <c r="H22" s="19" t="s">
        <v>100</v>
      </c>
      <c r="I22" s="38">
        <f t="shared" si="2"/>
        <v>20962.762269999999</v>
      </c>
      <c r="J22" s="38"/>
      <c r="K22" s="19"/>
      <c r="L22" s="19"/>
      <c r="M22" s="19"/>
      <c r="N22" s="19"/>
      <c r="O22" s="19"/>
      <c r="P22" s="19"/>
      <c r="Q22" s="19"/>
      <c r="R22" s="19"/>
      <c r="S22" s="19"/>
      <c r="T22" s="19"/>
      <c r="U22" s="19"/>
      <c r="V22" s="19"/>
      <c r="W22" s="19"/>
      <c r="X22" s="19"/>
      <c r="Y22" s="19"/>
      <c r="Z22" s="19"/>
    </row>
    <row r="23" spans="1:26" ht="12.75" customHeight="1" x14ac:dyDescent="0.2">
      <c r="A23" s="19"/>
      <c r="B23" s="19" t="s">
        <v>115</v>
      </c>
      <c r="C23" s="19" t="s">
        <v>116</v>
      </c>
      <c r="D23" s="19" t="s">
        <v>69</v>
      </c>
      <c r="E23" s="38">
        <v>104704</v>
      </c>
      <c r="F23" s="19" t="s">
        <v>35</v>
      </c>
      <c r="G23" s="38">
        <v>140983</v>
      </c>
      <c r="H23" s="19" t="s">
        <v>100</v>
      </c>
      <c r="I23" s="38">
        <f t="shared" si="2"/>
        <v>14761.484032</v>
      </c>
      <c r="J23" s="38"/>
      <c r="K23" s="19"/>
      <c r="L23" s="19"/>
      <c r="M23" s="19"/>
      <c r="N23" s="19"/>
      <c r="O23" s="19"/>
      <c r="P23" s="19"/>
      <c r="Q23" s="19"/>
      <c r="R23" s="19"/>
      <c r="S23" s="19"/>
      <c r="T23" s="19"/>
      <c r="U23" s="19"/>
      <c r="V23" s="19"/>
      <c r="W23" s="19"/>
      <c r="X23" s="19"/>
      <c r="Y23" s="19"/>
      <c r="Z23" s="19"/>
    </row>
    <row r="24" spans="1:26" ht="12.75" customHeight="1" x14ac:dyDescent="0.2">
      <c r="A24" s="19"/>
      <c r="B24" s="19"/>
      <c r="C24" s="19"/>
      <c r="D24" s="19"/>
      <c r="E24" s="19"/>
      <c r="F24" s="19"/>
      <c r="G24" s="19"/>
      <c r="H24" s="23" t="s">
        <v>53</v>
      </c>
      <c r="I24" s="88">
        <f>SUM(I20:I23)</f>
        <v>74585.082387999995</v>
      </c>
      <c r="J24" s="19"/>
      <c r="K24" s="19"/>
      <c r="L24" s="19"/>
      <c r="M24" s="19"/>
      <c r="N24" s="19"/>
      <c r="O24" s="19"/>
      <c r="P24" s="19"/>
      <c r="Q24" s="19"/>
      <c r="R24" s="19"/>
      <c r="S24" s="19"/>
      <c r="T24" s="19"/>
      <c r="U24" s="19"/>
      <c r="V24" s="19"/>
      <c r="W24" s="19"/>
      <c r="X24" s="19"/>
      <c r="Y24" s="19"/>
      <c r="Z24" s="19"/>
    </row>
    <row r="25" spans="1:26" ht="12.7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2.75" customHeight="1" x14ac:dyDescent="0.2">
      <c r="A26" s="19"/>
      <c r="B26" s="1770" t="s">
        <v>124</v>
      </c>
      <c r="C26" s="1771"/>
      <c r="D26" s="19"/>
      <c r="E26" s="115"/>
      <c r="F26" s="19"/>
      <c r="G26" s="38"/>
      <c r="H26" s="19"/>
      <c r="I26" s="127"/>
      <c r="J26" s="127"/>
      <c r="K26" s="19"/>
      <c r="L26" s="19"/>
      <c r="M26" s="19"/>
      <c r="N26" s="19"/>
      <c r="O26" s="19"/>
      <c r="P26" s="19"/>
      <c r="Q26" s="19"/>
      <c r="R26" s="19"/>
      <c r="S26" s="19"/>
      <c r="T26" s="19"/>
      <c r="U26" s="19"/>
      <c r="V26" s="19"/>
      <c r="W26" s="19"/>
      <c r="X26" s="19"/>
      <c r="Y26" s="19"/>
      <c r="Z26" s="19"/>
    </row>
    <row r="27" spans="1:26" ht="12.75" customHeight="1" x14ac:dyDescent="0.2">
      <c r="A27" s="19"/>
      <c r="B27" s="19" t="s">
        <v>126</v>
      </c>
      <c r="C27" s="19"/>
      <c r="D27" s="19" t="s">
        <v>53</v>
      </c>
      <c r="E27" s="115">
        <v>31429</v>
      </c>
      <c r="F27" s="19" t="s">
        <v>35</v>
      </c>
      <c r="G27" s="38">
        <v>139</v>
      </c>
      <c r="H27" s="19" t="s">
        <v>128</v>
      </c>
      <c r="I27" s="127">
        <f t="shared" ref="I27:I36" si="3">(E27*G27)/1000</f>
        <v>4368.6310000000003</v>
      </c>
      <c r="J27" s="127"/>
      <c r="K27" s="19"/>
      <c r="L27" s="19"/>
      <c r="M27" s="19"/>
      <c r="N27" s="19"/>
      <c r="O27" s="19"/>
      <c r="P27" s="19"/>
      <c r="Q27" s="19"/>
      <c r="R27" s="19"/>
      <c r="S27" s="19"/>
      <c r="T27" s="19"/>
      <c r="U27" s="19"/>
      <c r="V27" s="19"/>
      <c r="W27" s="19"/>
      <c r="X27" s="19"/>
      <c r="Y27" s="19"/>
      <c r="Z27" s="19"/>
    </row>
    <row r="28" spans="1:26" ht="12.75" customHeight="1" x14ac:dyDescent="0.2">
      <c r="A28" s="19"/>
      <c r="B28" s="19" t="s">
        <v>134</v>
      </c>
      <c r="C28" s="19"/>
      <c r="D28" s="19" t="s">
        <v>53</v>
      </c>
      <c r="E28" s="38">
        <v>29676</v>
      </c>
      <c r="F28" s="19" t="s">
        <v>35</v>
      </c>
      <c r="G28" s="38">
        <v>140</v>
      </c>
      <c r="H28" s="19" t="s">
        <v>128</v>
      </c>
      <c r="I28" s="127">
        <f t="shared" si="3"/>
        <v>4154.6400000000003</v>
      </c>
      <c r="J28" s="127"/>
      <c r="K28" s="19"/>
      <c r="L28" s="19"/>
      <c r="M28" s="19"/>
      <c r="N28" s="19"/>
      <c r="O28" s="19"/>
      <c r="P28" s="19"/>
      <c r="Q28" s="19"/>
      <c r="R28" s="19"/>
      <c r="S28" s="19"/>
      <c r="T28" s="19"/>
      <c r="U28" s="19"/>
      <c r="V28" s="19"/>
      <c r="W28" s="19"/>
      <c r="X28" s="19"/>
      <c r="Y28" s="19"/>
      <c r="Z28" s="19"/>
    </row>
    <row r="29" spans="1:26" ht="12.75" customHeight="1" x14ac:dyDescent="0.2">
      <c r="A29" s="19"/>
      <c r="B29" s="19" t="s">
        <v>138</v>
      </c>
      <c r="C29" s="19"/>
      <c r="D29" s="19" t="s">
        <v>53</v>
      </c>
      <c r="E29" s="38">
        <v>43067</v>
      </c>
      <c r="F29" s="19" t="s">
        <v>35</v>
      </c>
      <c r="G29" s="38">
        <v>141</v>
      </c>
      <c r="H29" s="19" t="s">
        <v>128</v>
      </c>
      <c r="I29" s="127">
        <f t="shared" si="3"/>
        <v>6072.4470000000001</v>
      </c>
      <c r="J29" s="127"/>
      <c r="K29" s="19"/>
      <c r="L29" s="19"/>
      <c r="M29" s="19"/>
      <c r="N29" s="19"/>
      <c r="O29" s="19"/>
      <c r="P29" s="19"/>
      <c r="Q29" s="19"/>
      <c r="R29" s="19"/>
      <c r="S29" s="19"/>
      <c r="T29" s="19"/>
      <c r="U29" s="19"/>
      <c r="V29" s="19"/>
      <c r="W29" s="19"/>
      <c r="X29" s="19"/>
      <c r="Y29" s="19"/>
      <c r="Z29" s="19"/>
    </row>
    <row r="30" spans="1:26" ht="12.75" customHeight="1" x14ac:dyDescent="0.2">
      <c r="A30" s="19"/>
      <c r="B30" s="19" t="s">
        <v>139</v>
      </c>
      <c r="C30" s="19"/>
      <c r="D30" s="19" t="s">
        <v>53</v>
      </c>
      <c r="E30" s="38">
        <v>45535</v>
      </c>
      <c r="F30" s="19" t="s">
        <v>35</v>
      </c>
      <c r="G30" s="38">
        <v>142</v>
      </c>
      <c r="H30" s="19" t="s">
        <v>128</v>
      </c>
      <c r="I30" s="127">
        <f t="shared" si="3"/>
        <v>6465.97</v>
      </c>
      <c r="J30" s="127"/>
      <c r="K30" s="19"/>
      <c r="L30" s="19"/>
      <c r="M30" s="19"/>
      <c r="N30" s="19"/>
      <c r="O30" s="19"/>
      <c r="P30" s="19"/>
      <c r="Q30" s="19"/>
      <c r="R30" s="19"/>
      <c r="S30" s="19"/>
      <c r="T30" s="19"/>
      <c r="U30" s="19"/>
      <c r="V30" s="19"/>
      <c r="W30" s="19"/>
      <c r="X30" s="19"/>
      <c r="Y30" s="19"/>
      <c r="Z30" s="19"/>
    </row>
    <row r="31" spans="1:26" ht="12.75" customHeight="1" x14ac:dyDescent="0.2">
      <c r="A31" s="19"/>
      <c r="B31" s="19" t="s">
        <v>144</v>
      </c>
      <c r="C31" s="19"/>
      <c r="D31" s="19" t="s">
        <v>53</v>
      </c>
      <c r="E31" s="38">
        <v>41436</v>
      </c>
      <c r="F31" s="19" t="s">
        <v>35</v>
      </c>
      <c r="G31" s="38">
        <v>143</v>
      </c>
      <c r="H31" s="19" t="s">
        <v>128</v>
      </c>
      <c r="I31" s="127">
        <f t="shared" si="3"/>
        <v>5925.348</v>
      </c>
      <c r="J31" s="127"/>
      <c r="K31" s="19"/>
      <c r="L31" s="19"/>
      <c r="M31" s="19"/>
      <c r="N31" s="19"/>
      <c r="O31" s="19"/>
      <c r="P31" s="19"/>
      <c r="Q31" s="19"/>
      <c r="R31" s="19"/>
      <c r="S31" s="19"/>
      <c r="T31" s="19"/>
      <c r="U31" s="19"/>
      <c r="V31" s="19"/>
      <c r="W31" s="19"/>
      <c r="X31" s="19"/>
      <c r="Y31" s="19"/>
      <c r="Z31" s="19"/>
    </row>
    <row r="32" spans="1:26" ht="12.75" customHeight="1" x14ac:dyDescent="0.2">
      <c r="A32" s="19"/>
      <c r="B32" s="19" t="s">
        <v>149</v>
      </c>
      <c r="C32" s="19"/>
      <c r="D32" s="19" t="s">
        <v>53</v>
      </c>
      <c r="E32" s="38">
        <v>55907</v>
      </c>
      <c r="F32" s="19" t="s">
        <v>35</v>
      </c>
      <c r="G32" s="38">
        <v>144</v>
      </c>
      <c r="H32" s="19" t="s">
        <v>128</v>
      </c>
      <c r="I32" s="127">
        <f t="shared" si="3"/>
        <v>8050.6080000000002</v>
      </c>
      <c r="J32" s="127"/>
      <c r="K32" s="19"/>
      <c r="L32" s="19"/>
      <c r="M32" s="19"/>
      <c r="N32" s="19"/>
      <c r="O32" s="19"/>
      <c r="P32" s="19"/>
      <c r="Q32" s="19"/>
      <c r="R32" s="19"/>
      <c r="S32" s="19"/>
      <c r="T32" s="19"/>
      <c r="U32" s="19"/>
      <c r="V32" s="19"/>
      <c r="W32" s="19"/>
      <c r="X32" s="19"/>
      <c r="Y32" s="19"/>
      <c r="Z32" s="19"/>
    </row>
    <row r="33" spans="1:26" ht="12.75" customHeight="1" x14ac:dyDescent="0.2">
      <c r="A33" s="19"/>
      <c r="B33" s="19" t="s">
        <v>153</v>
      </c>
      <c r="C33" s="19"/>
      <c r="D33" s="19" t="s">
        <v>53</v>
      </c>
      <c r="E33" s="38">
        <v>70929</v>
      </c>
      <c r="F33" s="19" t="s">
        <v>35</v>
      </c>
      <c r="G33" s="38">
        <v>145</v>
      </c>
      <c r="H33" s="19" t="s">
        <v>128</v>
      </c>
      <c r="I33" s="127">
        <f t="shared" si="3"/>
        <v>10284.705</v>
      </c>
      <c r="J33" s="127"/>
      <c r="K33" s="19"/>
      <c r="L33" s="19"/>
      <c r="M33" s="19"/>
      <c r="N33" s="19"/>
      <c r="O33" s="19"/>
      <c r="P33" s="19"/>
      <c r="Q33" s="19"/>
      <c r="R33" s="19"/>
      <c r="S33" s="19"/>
      <c r="T33" s="19"/>
      <c r="U33" s="19"/>
      <c r="V33" s="19"/>
      <c r="W33" s="19"/>
      <c r="X33" s="19"/>
      <c r="Y33" s="19"/>
      <c r="Z33" s="19"/>
    </row>
    <row r="34" spans="1:26" ht="12.75" customHeight="1" x14ac:dyDescent="0.2">
      <c r="A34" s="19"/>
      <c r="B34" s="19" t="s">
        <v>156</v>
      </c>
      <c r="C34" s="19"/>
      <c r="D34" s="19" t="s">
        <v>53</v>
      </c>
      <c r="E34" s="38">
        <v>73718</v>
      </c>
      <c r="F34" s="19" t="s">
        <v>35</v>
      </c>
      <c r="G34" s="38">
        <v>146</v>
      </c>
      <c r="H34" s="19" t="s">
        <v>128</v>
      </c>
      <c r="I34" s="127">
        <f t="shared" si="3"/>
        <v>10762.828</v>
      </c>
      <c r="J34" s="127"/>
      <c r="K34" s="19"/>
      <c r="L34" s="19"/>
      <c r="M34" s="19"/>
      <c r="N34" s="19"/>
      <c r="O34" s="19"/>
      <c r="P34" s="19"/>
      <c r="Q34" s="19"/>
      <c r="R34" s="19"/>
      <c r="S34" s="19"/>
      <c r="T34" s="19"/>
      <c r="U34" s="19"/>
      <c r="V34" s="19"/>
      <c r="W34" s="19"/>
      <c r="X34" s="19"/>
      <c r="Y34" s="19"/>
      <c r="Z34" s="19"/>
    </row>
    <row r="35" spans="1:26" ht="12.75" customHeight="1" x14ac:dyDescent="0.2">
      <c r="A35" s="19"/>
      <c r="B35" s="19" t="s">
        <v>158</v>
      </c>
      <c r="C35" s="19"/>
      <c r="D35" s="19" t="s">
        <v>53</v>
      </c>
      <c r="E35" s="38">
        <v>3491</v>
      </c>
      <c r="F35" s="19" t="s">
        <v>35</v>
      </c>
      <c r="G35" s="38">
        <v>147</v>
      </c>
      <c r="H35" s="19" t="s">
        <v>128</v>
      </c>
      <c r="I35" s="127">
        <f t="shared" si="3"/>
        <v>513.17700000000002</v>
      </c>
      <c r="J35" s="127"/>
      <c r="K35" s="19"/>
      <c r="L35" s="19"/>
      <c r="M35" s="19"/>
      <c r="N35" s="19"/>
      <c r="O35" s="19"/>
      <c r="P35" s="19"/>
      <c r="Q35" s="19"/>
      <c r="R35" s="19"/>
      <c r="S35" s="19"/>
      <c r="T35" s="19"/>
      <c r="U35" s="19"/>
      <c r="V35" s="19"/>
      <c r="W35" s="19"/>
      <c r="X35" s="19"/>
      <c r="Y35" s="19"/>
      <c r="Z35" s="19"/>
    </row>
    <row r="36" spans="1:26" ht="12.75" customHeight="1" x14ac:dyDescent="0.2">
      <c r="A36" s="19"/>
      <c r="B36" s="19" t="s">
        <v>162</v>
      </c>
      <c r="C36" s="19"/>
      <c r="D36" s="19" t="s">
        <v>53</v>
      </c>
      <c r="E36" s="38">
        <v>3717</v>
      </c>
      <c r="F36" s="19" t="s">
        <v>35</v>
      </c>
      <c r="G36" s="38">
        <v>148</v>
      </c>
      <c r="H36" s="19" t="s">
        <v>128</v>
      </c>
      <c r="I36" s="127">
        <f t="shared" si="3"/>
        <v>550.11599999999999</v>
      </c>
      <c r="J36" s="127"/>
      <c r="K36" s="19"/>
      <c r="L36" s="19"/>
      <c r="M36" s="19"/>
      <c r="N36" s="19"/>
      <c r="O36" s="19"/>
      <c r="P36" s="19"/>
      <c r="Q36" s="19"/>
      <c r="R36" s="19"/>
      <c r="S36" s="19"/>
      <c r="T36" s="19"/>
      <c r="U36" s="19"/>
      <c r="V36" s="19"/>
      <c r="W36" s="19"/>
      <c r="X36" s="19"/>
      <c r="Y36" s="19"/>
      <c r="Z36" s="19"/>
    </row>
    <row r="37" spans="1:26" ht="12.75" customHeight="1" x14ac:dyDescent="0.2">
      <c r="A37" s="19"/>
      <c r="B37" s="19"/>
      <c r="C37" s="19"/>
      <c r="D37" s="19"/>
      <c r="E37" s="38"/>
      <c r="F37" s="19"/>
      <c r="G37" s="38"/>
      <c r="H37" s="23" t="s">
        <v>53</v>
      </c>
      <c r="I37" s="139">
        <f>SUM(I27:I36)</f>
        <v>57148.470000000008</v>
      </c>
      <c r="J37" s="19"/>
      <c r="K37" s="19"/>
      <c r="L37" s="19"/>
      <c r="M37" s="19"/>
      <c r="N37" s="19"/>
      <c r="O37" s="19"/>
      <c r="P37" s="19"/>
      <c r="Q37" s="19"/>
      <c r="R37" s="19"/>
      <c r="S37" s="19"/>
      <c r="T37" s="19"/>
      <c r="U37" s="19"/>
      <c r="V37" s="19"/>
      <c r="W37" s="19"/>
      <c r="X37" s="19"/>
      <c r="Y37" s="19"/>
      <c r="Z37" s="19"/>
    </row>
    <row r="38" spans="1:26" ht="12.75" customHeight="1" x14ac:dyDescent="0.2">
      <c r="A38" s="19"/>
      <c r="B38" s="1770" t="s">
        <v>173</v>
      </c>
      <c r="C38" s="1771"/>
      <c r="D38" s="19"/>
      <c r="E38" s="38"/>
      <c r="F38" s="19"/>
      <c r="G38" s="38"/>
      <c r="H38" s="19"/>
      <c r="I38" s="127"/>
      <c r="J38" s="127"/>
      <c r="K38" s="19"/>
      <c r="L38" s="19"/>
      <c r="M38" s="19"/>
      <c r="N38" s="19"/>
      <c r="O38" s="19"/>
      <c r="P38" s="19"/>
      <c r="Q38" s="19"/>
      <c r="R38" s="19"/>
      <c r="S38" s="19"/>
      <c r="T38" s="19"/>
      <c r="U38" s="19"/>
      <c r="V38" s="19"/>
      <c r="W38" s="19"/>
      <c r="X38" s="19"/>
      <c r="Y38" s="19"/>
      <c r="Z38" s="19"/>
    </row>
    <row r="39" spans="1:26" ht="25.5" customHeight="1" x14ac:dyDescent="0.2">
      <c r="A39" s="19"/>
      <c r="B39" s="19" t="s">
        <v>174</v>
      </c>
      <c r="C39" s="144" t="s">
        <v>175</v>
      </c>
      <c r="D39" s="19" t="s">
        <v>53</v>
      </c>
      <c r="E39" s="38">
        <v>60197</v>
      </c>
      <c r="F39" s="19" t="s">
        <v>35</v>
      </c>
      <c r="G39" s="38">
        <v>137000</v>
      </c>
      <c r="H39" s="19" t="s">
        <v>179</v>
      </c>
      <c r="I39" s="127">
        <f t="shared" ref="I39:I46" si="4">(E39*G39)/1000000</f>
        <v>8246.9889999999996</v>
      </c>
      <c r="J39" s="127"/>
      <c r="K39" s="19"/>
      <c r="L39" s="19"/>
      <c r="M39" s="19"/>
      <c r="N39" s="19"/>
      <c r="O39" s="19"/>
      <c r="P39" s="19"/>
      <c r="Q39" s="19"/>
      <c r="R39" s="19"/>
      <c r="S39" s="19"/>
      <c r="T39" s="19"/>
      <c r="U39" s="19"/>
      <c r="V39" s="19"/>
      <c r="W39" s="19"/>
      <c r="X39" s="19"/>
      <c r="Y39" s="19"/>
      <c r="Z39" s="19"/>
    </row>
    <row r="40" spans="1:26" ht="25.5" customHeight="1" x14ac:dyDescent="0.2">
      <c r="A40" s="19"/>
      <c r="B40" s="19" t="s">
        <v>183</v>
      </c>
      <c r="C40" s="144" t="s">
        <v>184</v>
      </c>
      <c r="D40" s="19" t="s">
        <v>53</v>
      </c>
      <c r="E40" s="38">
        <v>60972</v>
      </c>
      <c r="F40" s="19" t="s">
        <v>35</v>
      </c>
      <c r="G40" s="38">
        <v>137000</v>
      </c>
      <c r="H40" s="19" t="s">
        <v>179</v>
      </c>
      <c r="I40" s="127">
        <f t="shared" si="4"/>
        <v>8353.1640000000007</v>
      </c>
      <c r="J40" s="127"/>
      <c r="K40" s="19"/>
      <c r="L40" s="19"/>
      <c r="M40" s="19"/>
      <c r="N40" s="19"/>
      <c r="O40" s="19"/>
      <c r="P40" s="19"/>
      <c r="Q40" s="19"/>
      <c r="R40" s="19"/>
      <c r="S40" s="19"/>
      <c r="T40" s="19"/>
      <c r="U40" s="19"/>
      <c r="V40" s="19"/>
      <c r="W40" s="19"/>
      <c r="X40" s="19"/>
      <c r="Y40" s="19"/>
      <c r="Z40" s="19"/>
    </row>
    <row r="41" spans="1:26" ht="12.75" customHeight="1" x14ac:dyDescent="0.2">
      <c r="A41" s="19"/>
      <c r="B41" s="19" t="s">
        <v>187</v>
      </c>
      <c r="C41" s="19" t="s">
        <v>188</v>
      </c>
      <c r="D41" s="19" t="s">
        <v>53</v>
      </c>
      <c r="E41" s="38">
        <v>26413</v>
      </c>
      <c r="F41" s="19" t="s">
        <v>35</v>
      </c>
      <c r="G41" s="38">
        <v>137000</v>
      </c>
      <c r="H41" s="19" t="s">
        <v>179</v>
      </c>
      <c r="I41" s="127">
        <f t="shared" si="4"/>
        <v>3618.5810000000001</v>
      </c>
      <c r="J41" s="127"/>
      <c r="K41" s="19"/>
      <c r="L41" s="19"/>
      <c r="M41" s="19"/>
      <c r="N41" s="19"/>
      <c r="O41" s="19"/>
      <c r="P41" s="19"/>
      <c r="Q41" s="19"/>
      <c r="R41" s="19"/>
      <c r="S41" s="19"/>
      <c r="T41" s="19"/>
      <c r="U41" s="19"/>
      <c r="V41" s="19"/>
      <c r="W41" s="19"/>
      <c r="X41" s="19"/>
      <c r="Y41" s="19"/>
      <c r="Z41" s="19"/>
    </row>
    <row r="42" spans="1:26" ht="12.75" customHeight="1" x14ac:dyDescent="0.2">
      <c r="A42" s="19"/>
      <c r="B42" s="19" t="s">
        <v>189</v>
      </c>
      <c r="C42" s="19" t="s">
        <v>188</v>
      </c>
      <c r="D42" s="19" t="s">
        <v>53</v>
      </c>
      <c r="E42" s="38">
        <v>18374</v>
      </c>
      <c r="F42" s="19" t="s">
        <v>35</v>
      </c>
      <c r="G42" s="38">
        <v>137000</v>
      </c>
      <c r="H42" s="19" t="s">
        <v>179</v>
      </c>
      <c r="I42" s="127">
        <f t="shared" si="4"/>
        <v>2517.2379999999998</v>
      </c>
      <c r="J42" s="127"/>
      <c r="K42" s="19"/>
      <c r="L42" s="19"/>
      <c r="M42" s="19"/>
      <c r="N42" s="19"/>
      <c r="O42" s="19"/>
      <c r="P42" s="19"/>
      <c r="Q42" s="19"/>
      <c r="R42" s="19"/>
      <c r="S42" s="19"/>
      <c r="T42" s="19"/>
      <c r="U42" s="19"/>
      <c r="V42" s="19"/>
      <c r="W42" s="19"/>
      <c r="X42" s="19"/>
      <c r="Y42" s="19"/>
      <c r="Z42" s="19"/>
    </row>
    <row r="43" spans="1:26" ht="12.75" customHeight="1" x14ac:dyDescent="0.2">
      <c r="A43" s="19"/>
      <c r="B43" s="19" t="s">
        <v>190</v>
      </c>
      <c r="C43" s="19" t="s">
        <v>188</v>
      </c>
      <c r="D43" s="19" t="s">
        <v>53</v>
      </c>
      <c r="E43" s="38">
        <v>25028</v>
      </c>
      <c r="F43" s="19" t="s">
        <v>35</v>
      </c>
      <c r="G43" s="38">
        <v>137000</v>
      </c>
      <c r="H43" s="19" t="s">
        <v>179</v>
      </c>
      <c r="I43" s="127">
        <f t="shared" si="4"/>
        <v>3428.8359999999998</v>
      </c>
      <c r="J43" s="127"/>
      <c r="K43" s="19"/>
      <c r="L43" s="19"/>
      <c r="M43" s="19"/>
      <c r="N43" s="19"/>
      <c r="O43" s="19"/>
      <c r="P43" s="19"/>
      <c r="Q43" s="19"/>
      <c r="R43" s="19"/>
      <c r="S43" s="19"/>
      <c r="T43" s="19"/>
      <c r="U43" s="19"/>
      <c r="V43" s="19"/>
      <c r="W43" s="19"/>
      <c r="X43" s="19"/>
      <c r="Y43" s="19"/>
      <c r="Z43" s="19"/>
    </row>
    <row r="44" spans="1:26" ht="12.75" customHeight="1" x14ac:dyDescent="0.2">
      <c r="A44" s="19"/>
      <c r="B44" s="19" t="s">
        <v>194</v>
      </c>
      <c r="C44" s="19" t="s">
        <v>188</v>
      </c>
      <c r="D44" s="19" t="s">
        <v>53</v>
      </c>
      <c r="E44" s="38">
        <v>22917</v>
      </c>
      <c r="F44" s="19" t="s">
        <v>35</v>
      </c>
      <c r="G44" s="38">
        <v>137000</v>
      </c>
      <c r="H44" s="19" t="s">
        <v>179</v>
      </c>
      <c r="I44" s="127">
        <f t="shared" si="4"/>
        <v>3139.6289999999999</v>
      </c>
      <c r="J44" s="127"/>
      <c r="K44" s="19"/>
      <c r="L44" s="19"/>
      <c r="M44" s="19"/>
      <c r="N44" s="19"/>
      <c r="O44" s="19"/>
      <c r="P44" s="19"/>
      <c r="Q44" s="19"/>
      <c r="R44" s="19"/>
      <c r="S44" s="19"/>
      <c r="T44" s="19"/>
      <c r="U44" s="19"/>
      <c r="V44" s="19"/>
      <c r="W44" s="19"/>
      <c r="X44" s="19"/>
      <c r="Y44" s="19"/>
      <c r="Z44" s="19"/>
    </row>
    <row r="45" spans="1:26" ht="12.75" customHeight="1" x14ac:dyDescent="0.2">
      <c r="A45" s="19"/>
      <c r="B45" s="19" t="s">
        <v>197</v>
      </c>
      <c r="C45" s="19" t="s">
        <v>188</v>
      </c>
      <c r="D45" s="19" t="s">
        <v>53</v>
      </c>
      <c r="E45" s="38">
        <v>3620</v>
      </c>
      <c r="F45" s="19" t="s">
        <v>35</v>
      </c>
      <c r="G45" s="38">
        <v>137000</v>
      </c>
      <c r="H45" s="19" t="s">
        <v>179</v>
      </c>
      <c r="I45" s="127">
        <f t="shared" si="4"/>
        <v>495.94</v>
      </c>
      <c r="J45" s="127"/>
      <c r="K45" s="19"/>
      <c r="L45" s="19"/>
      <c r="M45" s="19"/>
      <c r="N45" s="19"/>
      <c r="O45" s="19"/>
      <c r="P45" s="19"/>
      <c r="Q45" s="19"/>
      <c r="R45" s="19"/>
      <c r="S45" s="19"/>
      <c r="T45" s="19"/>
      <c r="U45" s="19"/>
      <c r="V45" s="19"/>
      <c r="W45" s="19"/>
      <c r="X45" s="19"/>
      <c r="Y45" s="19"/>
      <c r="Z45" s="19"/>
    </row>
    <row r="46" spans="1:26" ht="12.75" customHeight="1" x14ac:dyDescent="0.2">
      <c r="A46" s="19"/>
      <c r="B46" s="19" t="s">
        <v>201</v>
      </c>
      <c r="C46" s="19" t="s">
        <v>188</v>
      </c>
      <c r="D46" s="19" t="s">
        <v>53</v>
      </c>
      <c r="E46" s="38">
        <v>3566</v>
      </c>
      <c r="F46" s="19" t="s">
        <v>35</v>
      </c>
      <c r="G46" s="38">
        <v>137000</v>
      </c>
      <c r="H46" s="19" t="s">
        <v>179</v>
      </c>
      <c r="I46" s="127">
        <f t="shared" si="4"/>
        <v>488.54199999999997</v>
      </c>
      <c r="J46" s="127"/>
      <c r="K46" s="19"/>
      <c r="L46" s="19"/>
      <c r="M46" s="19"/>
      <c r="N46" s="19"/>
      <c r="O46" s="19"/>
      <c r="P46" s="19"/>
      <c r="Q46" s="19"/>
      <c r="R46" s="19"/>
      <c r="S46" s="19"/>
      <c r="T46" s="19"/>
      <c r="U46" s="19"/>
      <c r="V46" s="19"/>
      <c r="W46" s="19"/>
      <c r="X46" s="19"/>
      <c r="Y46" s="19"/>
      <c r="Z46" s="19"/>
    </row>
    <row r="47" spans="1:26" ht="12.75" customHeight="1" x14ac:dyDescent="0.2">
      <c r="A47" s="19"/>
      <c r="B47" s="19"/>
      <c r="C47" s="19"/>
      <c r="D47" s="19"/>
      <c r="E47" s="38"/>
      <c r="F47" s="19"/>
      <c r="G47" s="38"/>
      <c r="H47" s="23" t="s">
        <v>53</v>
      </c>
      <c r="I47" s="139">
        <f>SUM(I39:I46)</f>
        <v>30288.918999999998</v>
      </c>
      <c r="J47" s="127"/>
      <c r="K47" s="19"/>
      <c r="L47" s="19"/>
      <c r="M47" s="19"/>
      <c r="N47" s="19"/>
      <c r="O47" s="19"/>
      <c r="P47" s="19"/>
      <c r="Q47" s="19"/>
      <c r="R47" s="19"/>
      <c r="S47" s="19"/>
      <c r="T47" s="19"/>
      <c r="U47" s="19"/>
      <c r="V47" s="19"/>
      <c r="W47" s="19"/>
      <c r="X47" s="19"/>
      <c r="Y47" s="19"/>
      <c r="Z47" s="19"/>
    </row>
    <row r="48" spans="1:26" ht="12.75" customHeight="1" x14ac:dyDescent="0.2">
      <c r="A48" s="19"/>
      <c r="B48" s="1770" t="s">
        <v>204</v>
      </c>
      <c r="C48" s="1771"/>
      <c r="D48" s="23"/>
      <c r="E48" s="115"/>
      <c r="F48" s="19"/>
      <c r="G48" s="38"/>
      <c r="H48" s="19"/>
      <c r="I48" s="127"/>
      <c r="J48" s="127"/>
      <c r="K48" s="19"/>
      <c r="L48" s="19"/>
      <c r="M48" s="19"/>
      <c r="N48" s="19"/>
      <c r="O48" s="19"/>
      <c r="P48" s="19"/>
      <c r="Q48" s="19"/>
      <c r="R48" s="19"/>
      <c r="S48" s="19"/>
      <c r="T48" s="19"/>
      <c r="U48" s="19"/>
      <c r="V48" s="19"/>
      <c r="W48" s="19"/>
      <c r="X48" s="19"/>
      <c r="Y48" s="19"/>
      <c r="Z48" s="19"/>
    </row>
    <row r="49" spans="1:26" ht="12.75" customHeight="1" x14ac:dyDescent="0.2">
      <c r="A49" s="19"/>
      <c r="B49" s="19" t="s">
        <v>207</v>
      </c>
      <c r="C49" s="19" t="s">
        <v>208</v>
      </c>
      <c r="D49" s="19" t="s">
        <v>69</v>
      </c>
      <c r="E49" s="38">
        <v>11831</v>
      </c>
      <c r="F49" s="19" t="s">
        <v>35</v>
      </c>
      <c r="G49" s="38">
        <v>140983</v>
      </c>
      <c r="H49" s="19" t="s">
        <v>100</v>
      </c>
      <c r="I49" s="38">
        <f t="shared" ref="I49:I53" si="5">(E49*G49)/1000000</f>
        <v>1667.969873</v>
      </c>
      <c r="J49" s="38"/>
      <c r="K49" s="19"/>
      <c r="L49" s="19"/>
      <c r="M49" s="19"/>
      <c r="N49" s="19"/>
      <c r="O49" s="19"/>
      <c r="P49" s="19"/>
      <c r="Q49" s="19"/>
      <c r="R49" s="19"/>
      <c r="S49" s="19"/>
      <c r="T49" s="19"/>
      <c r="U49" s="19"/>
      <c r="V49" s="19"/>
      <c r="W49" s="19"/>
      <c r="X49" s="19"/>
      <c r="Y49" s="19"/>
      <c r="Z49" s="19"/>
    </row>
    <row r="50" spans="1:26" ht="12.75" customHeight="1" x14ac:dyDescent="0.2">
      <c r="A50" s="19"/>
      <c r="B50" s="19" t="s">
        <v>212</v>
      </c>
      <c r="C50" s="19" t="s">
        <v>213</v>
      </c>
      <c r="D50" s="19" t="s">
        <v>69</v>
      </c>
      <c r="E50" s="38">
        <v>15038</v>
      </c>
      <c r="F50" s="19" t="s">
        <v>35</v>
      </c>
      <c r="G50" s="38">
        <v>140984</v>
      </c>
      <c r="H50" s="19" t="s">
        <v>100</v>
      </c>
      <c r="I50" s="38">
        <f t="shared" si="5"/>
        <v>2120.1173920000001</v>
      </c>
      <c r="J50" s="38"/>
      <c r="K50" s="19"/>
      <c r="L50" s="19"/>
      <c r="M50" s="19"/>
      <c r="N50" s="19"/>
      <c r="O50" s="19"/>
      <c r="P50" s="19"/>
      <c r="Q50" s="19"/>
      <c r="R50" s="19"/>
      <c r="S50" s="19"/>
      <c r="T50" s="19"/>
      <c r="U50" s="19"/>
      <c r="V50" s="19"/>
      <c r="W50" s="19"/>
      <c r="X50" s="19"/>
      <c r="Y50" s="19"/>
      <c r="Z50" s="19"/>
    </row>
    <row r="51" spans="1:26" ht="12.75" customHeight="1" x14ac:dyDescent="0.2">
      <c r="A51" s="19"/>
      <c r="B51" s="19" t="s">
        <v>216</v>
      </c>
      <c r="C51" s="19" t="s">
        <v>217</v>
      </c>
      <c r="D51" s="19" t="s">
        <v>69</v>
      </c>
      <c r="E51" s="38">
        <v>0</v>
      </c>
      <c r="F51" s="19" t="s">
        <v>35</v>
      </c>
      <c r="G51" s="38"/>
      <c r="H51" s="19" t="s">
        <v>100</v>
      </c>
      <c r="I51" s="38">
        <f t="shared" si="5"/>
        <v>0</v>
      </c>
      <c r="J51" s="38"/>
      <c r="K51" s="19"/>
      <c r="L51" s="19"/>
      <c r="M51" s="19"/>
      <c r="N51" s="19"/>
      <c r="O51" s="19"/>
      <c r="P51" s="19"/>
      <c r="Q51" s="19"/>
      <c r="R51" s="19"/>
      <c r="S51" s="19"/>
      <c r="T51" s="19"/>
      <c r="U51" s="19"/>
      <c r="V51" s="19"/>
      <c r="W51" s="19"/>
      <c r="X51" s="19"/>
      <c r="Y51" s="19"/>
      <c r="Z51" s="19"/>
    </row>
    <row r="52" spans="1:26" ht="12.75" customHeight="1" x14ac:dyDescent="0.2">
      <c r="A52" s="19"/>
      <c r="B52" s="19" t="s">
        <v>222</v>
      </c>
      <c r="C52" s="19" t="s">
        <v>217</v>
      </c>
      <c r="D52" s="19" t="s">
        <v>69</v>
      </c>
      <c r="E52" s="38">
        <v>12159</v>
      </c>
      <c r="F52" s="19" t="s">
        <v>35</v>
      </c>
      <c r="G52" s="38">
        <v>140986</v>
      </c>
      <c r="H52" s="19" t="s">
        <v>100</v>
      </c>
      <c r="I52" s="38">
        <f t="shared" si="5"/>
        <v>1714.2487739999999</v>
      </c>
      <c r="J52" s="38"/>
      <c r="K52" s="19"/>
      <c r="L52" s="19"/>
      <c r="M52" s="19"/>
      <c r="N52" s="19"/>
      <c r="O52" s="19"/>
      <c r="P52" s="19"/>
      <c r="Q52" s="19"/>
      <c r="R52" s="19"/>
      <c r="S52" s="19"/>
      <c r="T52" s="19"/>
      <c r="U52" s="19"/>
      <c r="V52" s="19"/>
      <c r="W52" s="19"/>
      <c r="X52" s="19"/>
      <c r="Y52" s="19"/>
      <c r="Z52" s="19"/>
    </row>
    <row r="53" spans="1:26" ht="12.75" customHeight="1" x14ac:dyDescent="0.2">
      <c r="A53" s="19"/>
      <c r="B53" s="19" t="s">
        <v>228</v>
      </c>
      <c r="C53" s="19" t="s">
        <v>217</v>
      </c>
      <c r="D53" s="19" t="s">
        <v>69</v>
      </c>
      <c r="E53" s="38">
        <v>26726</v>
      </c>
      <c r="F53" s="19" t="s">
        <v>35</v>
      </c>
      <c r="G53" s="38">
        <v>140987</v>
      </c>
      <c r="H53" s="19" t="s">
        <v>100</v>
      </c>
      <c r="I53" s="38">
        <f t="shared" si="5"/>
        <v>3768.0185620000002</v>
      </c>
      <c r="J53" s="38"/>
      <c r="K53" s="19"/>
      <c r="L53" s="19"/>
      <c r="M53" s="19"/>
      <c r="N53" s="19"/>
      <c r="O53" s="19"/>
      <c r="P53" s="19"/>
      <c r="Q53" s="19"/>
      <c r="R53" s="19"/>
      <c r="S53" s="19"/>
      <c r="T53" s="19"/>
      <c r="U53" s="19"/>
      <c r="V53" s="19"/>
      <c r="W53" s="19"/>
      <c r="X53" s="19"/>
      <c r="Y53" s="19"/>
      <c r="Z53" s="19"/>
    </row>
    <row r="54" spans="1:26" ht="12.75" customHeight="1" x14ac:dyDescent="0.2">
      <c r="A54" s="19"/>
      <c r="B54" s="19"/>
      <c r="C54" s="19"/>
      <c r="D54" s="19"/>
      <c r="E54" s="38"/>
      <c r="F54" s="19"/>
      <c r="G54" s="38"/>
      <c r="H54" s="23" t="s">
        <v>53</v>
      </c>
      <c r="I54" s="88">
        <f>SUM(I49:I53)</f>
        <v>9270.3546009999991</v>
      </c>
      <c r="J54" s="19"/>
      <c r="K54" s="19"/>
      <c r="L54" s="19"/>
      <c r="M54" s="19"/>
      <c r="N54" s="19"/>
      <c r="O54" s="19"/>
      <c r="P54" s="19"/>
      <c r="Q54" s="19"/>
      <c r="R54" s="19"/>
      <c r="S54" s="19"/>
      <c r="T54" s="19"/>
      <c r="U54" s="19"/>
      <c r="V54" s="19"/>
      <c r="W54" s="19"/>
      <c r="X54" s="19"/>
      <c r="Y54" s="19"/>
      <c r="Z54" s="19"/>
    </row>
    <row r="55" spans="1:26" ht="1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x14ac:dyDescent="0.2">
      <c r="A56" s="19"/>
      <c r="B56" s="1770" t="s">
        <v>233</v>
      </c>
      <c r="C56" s="1771"/>
      <c r="D56" s="19"/>
      <c r="E56" s="38"/>
      <c r="F56" s="19"/>
      <c r="G56" s="38"/>
      <c r="H56" s="19"/>
      <c r="I56" s="19"/>
      <c r="J56" s="19"/>
      <c r="K56" s="19"/>
      <c r="L56" s="19"/>
      <c r="M56" s="19"/>
      <c r="N56" s="19"/>
      <c r="O56" s="19"/>
      <c r="P56" s="19"/>
      <c r="Q56" s="19"/>
      <c r="R56" s="19"/>
      <c r="S56" s="19"/>
      <c r="T56" s="19"/>
      <c r="U56" s="19"/>
      <c r="V56" s="19"/>
      <c r="W56" s="19"/>
      <c r="X56" s="19"/>
      <c r="Y56" s="19"/>
      <c r="Z56" s="19"/>
    </row>
    <row r="57" spans="1:26" ht="12.75" customHeight="1" x14ac:dyDescent="0.2">
      <c r="A57" s="19"/>
      <c r="B57" s="19"/>
      <c r="C57" s="19"/>
      <c r="D57" s="174"/>
      <c r="E57" s="38"/>
      <c r="F57" s="174"/>
      <c r="G57" s="38"/>
      <c r="H57" s="174"/>
      <c r="I57" s="38"/>
      <c r="J57" s="38"/>
      <c r="K57" s="19"/>
      <c r="L57" s="19"/>
      <c r="M57" s="19"/>
      <c r="N57" s="19"/>
      <c r="O57" s="19"/>
      <c r="P57" s="19"/>
      <c r="Q57" s="19"/>
      <c r="R57" s="19"/>
      <c r="S57" s="19"/>
      <c r="T57" s="19"/>
      <c r="U57" s="19"/>
      <c r="V57" s="19"/>
      <c r="W57" s="19"/>
      <c r="X57" s="19"/>
      <c r="Y57" s="19"/>
      <c r="Z57" s="19"/>
    </row>
    <row r="58" spans="1:26" ht="12.75" customHeight="1" x14ac:dyDescent="0.2">
      <c r="A58" s="19"/>
      <c r="B58" s="19" t="s">
        <v>240</v>
      </c>
      <c r="C58" s="19" t="s">
        <v>241</v>
      </c>
      <c r="D58" s="19" t="s">
        <v>242</v>
      </c>
      <c r="E58" s="38">
        <v>202000</v>
      </c>
      <c r="F58" s="19" t="s">
        <v>35</v>
      </c>
      <c r="G58" s="38">
        <v>139</v>
      </c>
      <c r="H58" s="174" t="s">
        <v>243</v>
      </c>
      <c r="I58" s="38">
        <f t="shared" ref="I58:I59" si="6">(E58*G58)/1000</f>
        <v>28078</v>
      </c>
      <c r="J58" s="38"/>
      <c r="K58" s="19"/>
      <c r="L58" s="19"/>
      <c r="M58" s="19"/>
      <c r="N58" s="19"/>
      <c r="O58" s="19"/>
      <c r="P58" s="19"/>
      <c r="Q58" s="19"/>
      <c r="R58" s="19"/>
      <c r="S58" s="19"/>
      <c r="T58" s="19"/>
      <c r="U58" s="19"/>
      <c r="V58" s="19"/>
      <c r="W58" s="19"/>
      <c r="X58" s="19"/>
      <c r="Y58" s="19"/>
      <c r="Z58" s="19"/>
    </row>
    <row r="59" spans="1:26" ht="12.75" customHeight="1" x14ac:dyDescent="0.2">
      <c r="A59" s="19"/>
      <c r="B59" s="19" t="s">
        <v>248</v>
      </c>
      <c r="C59" s="19" t="s">
        <v>249</v>
      </c>
      <c r="D59" s="19" t="s">
        <v>242</v>
      </c>
      <c r="E59" s="38">
        <v>236000</v>
      </c>
      <c r="F59" s="19" t="s">
        <v>35</v>
      </c>
      <c r="G59" s="38">
        <v>139</v>
      </c>
      <c r="H59" s="174" t="s">
        <v>243</v>
      </c>
      <c r="I59" s="38">
        <f t="shared" si="6"/>
        <v>32804</v>
      </c>
      <c r="J59" s="38"/>
      <c r="K59" s="19"/>
      <c r="L59" s="19"/>
      <c r="M59" s="19"/>
      <c r="N59" s="19"/>
      <c r="O59" s="19"/>
      <c r="P59" s="19"/>
      <c r="Q59" s="19"/>
      <c r="R59" s="19"/>
      <c r="S59" s="19"/>
      <c r="T59" s="19"/>
      <c r="U59" s="19"/>
      <c r="V59" s="19"/>
      <c r="W59" s="19"/>
      <c r="X59" s="19"/>
      <c r="Y59" s="19"/>
      <c r="Z59" s="19"/>
    </row>
    <row r="60" spans="1:26" ht="12.75" customHeight="1" x14ac:dyDescent="0.2">
      <c r="A60" s="19"/>
      <c r="B60" s="19"/>
      <c r="C60" s="19"/>
      <c r="D60" s="19"/>
      <c r="E60" s="19"/>
      <c r="F60" s="19"/>
      <c r="G60" s="19"/>
      <c r="H60" s="23" t="s">
        <v>53</v>
      </c>
      <c r="I60" s="88">
        <f>SUM(I58:I59)</f>
        <v>60882</v>
      </c>
      <c r="J60" s="19"/>
      <c r="K60" s="19"/>
      <c r="L60" s="19"/>
      <c r="M60" s="19"/>
      <c r="N60" s="19"/>
      <c r="O60" s="19"/>
      <c r="P60" s="19"/>
      <c r="Q60" s="19"/>
      <c r="R60" s="19"/>
      <c r="S60" s="19"/>
      <c r="T60" s="19"/>
      <c r="U60" s="19"/>
      <c r="V60" s="19"/>
      <c r="W60" s="19"/>
      <c r="X60" s="19"/>
      <c r="Y60" s="19"/>
      <c r="Z60" s="19"/>
    </row>
    <row r="61" spans="1:26" ht="12.75" customHeight="1" x14ac:dyDescent="0.2">
      <c r="A61" s="19"/>
      <c r="B61" s="19"/>
      <c r="C61" s="19"/>
      <c r="D61" s="19"/>
      <c r="E61" s="19"/>
      <c r="F61" s="19"/>
      <c r="G61" s="19"/>
      <c r="H61" s="23"/>
      <c r="I61" s="88"/>
      <c r="J61" s="19"/>
      <c r="K61" s="19"/>
      <c r="L61" s="19"/>
      <c r="M61" s="19"/>
      <c r="N61" s="19"/>
      <c r="O61" s="19"/>
      <c r="P61" s="19"/>
      <c r="Q61" s="19"/>
      <c r="R61" s="19"/>
      <c r="S61" s="19"/>
      <c r="T61" s="19"/>
      <c r="U61" s="19"/>
      <c r="V61" s="19"/>
      <c r="W61" s="19"/>
      <c r="X61" s="19"/>
      <c r="Y61" s="19"/>
      <c r="Z61" s="19"/>
    </row>
    <row r="62" spans="1:26" ht="12.75" customHeight="1" x14ac:dyDescent="0.2">
      <c r="A62" s="19"/>
      <c r="B62" s="1770" t="s">
        <v>253</v>
      </c>
      <c r="C62" s="1771"/>
      <c r="D62" s="19"/>
      <c r="E62" s="38"/>
      <c r="F62" s="19"/>
      <c r="G62" s="38"/>
      <c r="H62" s="19"/>
      <c r="I62" s="38"/>
      <c r="J62" s="38"/>
      <c r="K62" s="19"/>
      <c r="L62" s="19"/>
      <c r="M62" s="19"/>
      <c r="N62" s="19"/>
      <c r="O62" s="19"/>
      <c r="P62" s="19"/>
      <c r="Q62" s="19"/>
      <c r="R62" s="19"/>
      <c r="S62" s="19"/>
      <c r="T62" s="19"/>
      <c r="U62" s="19"/>
      <c r="V62" s="19"/>
      <c r="W62" s="19"/>
      <c r="X62" s="19"/>
      <c r="Y62" s="19"/>
      <c r="Z62" s="19"/>
    </row>
    <row r="63" spans="1:26" ht="12.75" customHeight="1" x14ac:dyDescent="0.2">
      <c r="A63" s="19"/>
      <c r="B63" s="19" t="s">
        <v>257</v>
      </c>
      <c r="C63" s="19" t="s">
        <v>82</v>
      </c>
      <c r="D63" s="23" t="s">
        <v>258</v>
      </c>
      <c r="E63" s="38">
        <v>743000</v>
      </c>
      <c r="F63" s="19" t="s">
        <v>35</v>
      </c>
      <c r="G63" s="38">
        <v>139</v>
      </c>
      <c r="H63" s="19" t="s">
        <v>243</v>
      </c>
      <c r="I63" s="88">
        <f>(E63*G63)/1000</f>
        <v>103277</v>
      </c>
      <c r="J63" s="184"/>
      <c r="K63" s="19"/>
      <c r="L63" s="19"/>
      <c r="M63" s="19"/>
      <c r="N63" s="19"/>
      <c r="O63" s="19"/>
      <c r="P63" s="19"/>
      <c r="Q63" s="19"/>
      <c r="R63" s="19"/>
      <c r="S63" s="19"/>
      <c r="T63" s="19"/>
      <c r="U63" s="19"/>
      <c r="V63" s="19"/>
      <c r="W63" s="19"/>
      <c r="X63" s="19"/>
      <c r="Y63" s="19"/>
      <c r="Z63" s="19"/>
    </row>
    <row r="64" spans="1:26" ht="12.75" customHeight="1" x14ac:dyDescent="0.2">
      <c r="A64" s="19"/>
      <c r="B64" s="19"/>
      <c r="C64" s="19"/>
      <c r="D64" s="19"/>
      <c r="E64" s="38"/>
      <c r="F64" s="19"/>
      <c r="G64" s="38"/>
      <c r="H64" s="19"/>
      <c r="I64" s="38"/>
      <c r="J64" s="184"/>
      <c r="K64" s="19"/>
      <c r="L64" s="19"/>
      <c r="M64" s="19"/>
      <c r="N64" s="19"/>
      <c r="O64" s="19"/>
      <c r="P64" s="19"/>
      <c r="Q64" s="19"/>
      <c r="R64" s="19"/>
      <c r="S64" s="19"/>
      <c r="T64" s="19"/>
      <c r="U64" s="19"/>
      <c r="V64" s="19"/>
      <c r="W64" s="19"/>
      <c r="X64" s="19"/>
      <c r="Y64" s="19"/>
      <c r="Z64" s="19"/>
    </row>
    <row r="65" spans="1:26" ht="12.75" customHeight="1" x14ac:dyDescent="0.2">
      <c r="A65" s="19"/>
      <c r="B65" s="19"/>
      <c r="C65" s="19"/>
      <c r="D65" s="19"/>
      <c r="E65" s="38"/>
      <c r="F65" s="19"/>
      <c r="G65" s="38"/>
      <c r="H65" s="19"/>
      <c r="I65" s="38"/>
      <c r="J65" s="184"/>
      <c r="K65" s="19"/>
      <c r="L65" s="19"/>
      <c r="M65" s="19"/>
      <c r="N65" s="19"/>
      <c r="O65" s="19"/>
      <c r="P65" s="19"/>
      <c r="Q65" s="19"/>
      <c r="R65" s="19"/>
      <c r="S65" s="19"/>
      <c r="T65" s="19"/>
      <c r="U65" s="19"/>
      <c r="V65" s="19"/>
      <c r="W65" s="19"/>
      <c r="X65" s="19"/>
      <c r="Y65" s="19"/>
      <c r="Z65" s="19"/>
    </row>
    <row r="66" spans="1:26" ht="12.75" customHeight="1" x14ac:dyDescent="0.2">
      <c r="A66" s="19"/>
      <c r="B66" s="19"/>
      <c r="C66" s="19"/>
      <c r="D66" s="19"/>
      <c r="E66" s="19"/>
      <c r="F66" s="1776" t="s">
        <v>266</v>
      </c>
      <c r="G66" s="1777"/>
      <c r="H66" s="1771"/>
      <c r="I66" s="187">
        <f>I63+I60+I54+I47+I37+I24+I17+I10</f>
        <v>556600.82598900003</v>
      </c>
      <c r="J66" s="184"/>
      <c r="K66" s="19"/>
      <c r="L66" s="19"/>
      <c r="M66" s="19"/>
      <c r="N66" s="19"/>
      <c r="O66" s="19"/>
      <c r="P66" s="19"/>
      <c r="Q66" s="19"/>
      <c r="R66" s="19"/>
      <c r="S66" s="19"/>
      <c r="T66" s="19"/>
      <c r="U66" s="19"/>
      <c r="V66" s="19"/>
      <c r="W66" s="19"/>
      <c r="X66" s="19"/>
      <c r="Y66" s="19"/>
      <c r="Z66" s="19"/>
    </row>
    <row r="67" spans="1:26" ht="12.75" customHeight="1" x14ac:dyDescent="0.2">
      <c r="A67" s="19"/>
      <c r="B67" s="19"/>
      <c r="C67" s="19"/>
      <c r="D67" s="19"/>
      <c r="E67" s="38"/>
      <c r="F67" s="19"/>
      <c r="G67" s="38"/>
      <c r="H67" s="19"/>
      <c r="I67" s="38"/>
      <c r="J67" s="184"/>
      <c r="K67" s="19"/>
      <c r="L67" s="19"/>
      <c r="M67" s="19"/>
      <c r="N67" s="19"/>
      <c r="O67" s="19"/>
      <c r="P67" s="19"/>
      <c r="Q67" s="19"/>
      <c r="R67" s="19"/>
      <c r="S67" s="19"/>
      <c r="T67" s="19"/>
      <c r="U67" s="19"/>
      <c r="V67" s="19"/>
      <c r="W67" s="19"/>
      <c r="X67" s="19"/>
      <c r="Y67" s="19"/>
      <c r="Z67" s="19"/>
    </row>
    <row r="68" spans="1:26" ht="12.75" customHeight="1" x14ac:dyDescent="0.2">
      <c r="A68" s="19"/>
      <c r="B68" s="19"/>
      <c r="C68" s="19"/>
      <c r="D68" s="19"/>
      <c r="E68" s="38"/>
      <c r="F68" s="19"/>
      <c r="G68" s="38"/>
      <c r="H68" s="19"/>
      <c r="I68" s="38"/>
      <c r="J68" s="184"/>
      <c r="K68" s="19"/>
      <c r="L68" s="19"/>
      <c r="M68" s="19"/>
      <c r="N68" s="19"/>
      <c r="O68" s="19"/>
      <c r="P68" s="19"/>
      <c r="Q68" s="19"/>
      <c r="R68" s="19"/>
      <c r="S68" s="19"/>
      <c r="T68" s="19"/>
      <c r="U68" s="19"/>
      <c r="V68" s="19"/>
      <c r="W68" s="19"/>
      <c r="X68" s="19"/>
      <c r="Y68" s="19"/>
      <c r="Z68" s="19"/>
    </row>
    <row r="69" spans="1:26" ht="21" customHeight="1" x14ac:dyDescent="0.35">
      <c r="A69" s="19"/>
      <c r="B69" s="18" t="s">
        <v>283</v>
      </c>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x14ac:dyDescent="0.2">
      <c r="A70" s="19"/>
      <c r="B70" s="1770" t="s">
        <v>173</v>
      </c>
      <c r="C70" s="1771"/>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x14ac:dyDescent="0.2">
      <c r="A71" s="19"/>
      <c r="B71" s="19" t="s">
        <v>187</v>
      </c>
      <c r="C71" s="19" t="s">
        <v>188</v>
      </c>
      <c r="D71" s="19" t="s">
        <v>288</v>
      </c>
      <c r="E71" s="38">
        <v>52845</v>
      </c>
      <c r="F71" s="19" t="s">
        <v>35</v>
      </c>
      <c r="G71" s="38">
        <v>137001</v>
      </c>
      <c r="H71" s="19" t="s">
        <v>179</v>
      </c>
      <c r="I71" s="127">
        <f t="shared" ref="I71:I74" si="7">(E71*G71)/1000000</f>
        <v>7239.8178449999996</v>
      </c>
      <c r="J71" s="127"/>
      <c r="K71" s="19"/>
      <c r="L71" s="19"/>
      <c r="M71" s="19"/>
      <c r="N71" s="19"/>
      <c r="O71" s="19"/>
      <c r="P71" s="19"/>
      <c r="Q71" s="19"/>
      <c r="R71" s="19"/>
      <c r="S71" s="19"/>
      <c r="T71" s="19"/>
      <c r="U71" s="19"/>
      <c r="V71" s="19"/>
      <c r="W71" s="19"/>
      <c r="X71" s="19"/>
      <c r="Y71" s="19"/>
      <c r="Z71" s="19"/>
    </row>
    <row r="72" spans="1:26" ht="12.75" customHeight="1" x14ac:dyDescent="0.2">
      <c r="A72" s="19"/>
      <c r="B72" s="19" t="s">
        <v>189</v>
      </c>
      <c r="C72" s="19" t="s">
        <v>188</v>
      </c>
      <c r="D72" s="19" t="s">
        <v>288</v>
      </c>
      <c r="E72" s="38">
        <v>37030</v>
      </c>
      <c r="F72" s="19" t="s">
        <v>35</v>
      </c>
      <c r="G72" s="38">
        <v>137001</v>
      </c>
      <c r="H72" s="19" t="s">
        <v>179</v>
      </c>
      <c r="I72" s="127">
        <f t="shared" si="7"/>
        <v>5073.1470300000001</v>
      </c>
      <c r="J72" s="127"/>
      <c r="K72" s="19"/>
      <c r="L72" s="19"/>
      <c r="M72" s="19"/>
      <c r="N72" s="19"/>
      <c r="O72" s="19"/>
      <c r="P72" s="19"/>
      <c r="Q72" s="19"/>
      <c r="R72" s="19"/>
      <c r="S72" s="19"/>
      <c r="T72" s="19"/>
      <c r="U72" s="19"/>
      <c r="V72" s="19"/>
      <c r="W72" s="19"/>
      <c r="X72" s="19"/>
      <c r="Y72" s="19"/>
      <c r="Z72" s="19"/>
    </row>
    <row r="73" spans="1:26" ht="12.75" customHeight="1" x14ac:dyDescent="0.2">
      <c r="A73" s="19"/>
      <c r="B73" s="19" t="s">
        <v>190</v>
      </c>
      <c r="C73" s="19" t="s">
        <v>188</v>
      </c>
      <c r="D73" s="19" t="s">
        <v>288</v>
      </c>
      <c r="E73" s="38">
        <v>106975</v>
      </c>
      <c r="F73" s="19" t="s">
        <v>35</v>
      </c>
      <c r="G73" s="38">
        <v>137001</v>
      </c>
      <c r="H73" s="19" t="s">
        <v>179</v>
      </c>
      <c r="I73" s="127">
        <f t="shared" si="7"/>
        <v>14655.681975</v>
      </c>
      <c r="J73" s="127"/>
      <c r="K73" s="19"/>
      <c r="L73" s="19"/>
      <c r="M73" s="19"/>
      <c r="N73" s="19"/>
      <c r="O73" s="19"/>
      <c r="P73" s="19"/>
      <c r="Q73" s="19"/>
      <c r="R73" s="19"/>
      <c r="S73" s="19"/>
      <c r="T73" s="19"/>
      <c r="U73" s="19"/>
      <c r="V73" s="19"/>
      <c r="W73" s="19"/>
      <c r="X73" s="19"/>
      <c r="Y73" s="19"/>
      <c r="Z73" s="19"/>
    </row>
    <row r="74" spans="1:26" ht="12.75" customHeight="1" x14ac:dyDescent="0.2">
      <c r="A74" s="19"/>
      <c r="B74" s="19" t="s">
        <v>194</v>
      </c>
      <c r="C74" s="19" t="s">
        <v>188</v>
      </c>
      <c r="D74" s="19" t="s">
        <v>288</v>
      </c>
      <c r="E74" s="38">
        <v>110608</v>
      </c>
      <c r="F74" s="19" t="s">
        <v>35</v>
      </c>
      <c r="G74" s="38">
        <v>137001</v>
      </c>
      <c r="H74" s="19" t="s">
        <v>179</v>
      </c>
      <c r="I74" s="127">
        <f t="shared" si="7"/>
        <v>15153.406607999999</v>
      </c>
      <c r="J74" s="127"/>
      <c r="K74" s="19"/>
      <c r="L74" s="19"/>
      <c r="M74" s="19"/>
      <c r="N74" s="19"/>
      <c r="O74" s="19"/>
      <c r="P74" s="19"/>
      <c r="Q74" s="19"/>
      <c r="R74" s="19"/>
      <c r="S74" s="19"/>
      <c r="T74" s="19"/>
      <c r="U74" s="19"/>
      <c r="V74" s="19"/>
      <c r="W74" s="19"/>
      <c r="X74" s="19"/>
      <c r="Y74" s="19"/>
      <c r="Z74" s="19"/>
    </row>
    <row r="75" spans="1:26" ht="12.75" customHeight="1" x14ac:dyDescent="0.2">
      <c r="A75" s="19"/>
      <c r="B75" s="19"/>
      <c r="C75" s="19"/>
      <c r="D75" s="19"/>
      <c r="E75" s="38"/>
      <c r="F75" s="19"/>
      <c r="G75" s="38"/>
      <c r="H75" s="23" t="s">
        <v>300</v>
      </c>
      <c r="I75" s="139">
        <f>SUM(I71:I74)</f>
        <v>42122.053457999995</v>
      </c>
      <c r="J75" s="127"/>
      <c r="K75" s="19"/>
      <c r="L75" s="19"/>
      <c r="M75" s="19"/>
      <c r="N75" s="19"/>
      <c r="O75" s="19"/>
      <c r="P75" s="19"/>
      <c r="Q75" s="19"/>
      <c r="R75" s="19"/>
      <c r="S75" s="19"/>
      <c r="T75" s="19"/>
      <c r="U75" s="19"/>
      <c r="V75" s="19"/>
      <c r="W75" s="19"/>
      <c r="X75" s="19"/>
      <c r="Y75" s="19"/>
      <c r="Z75" s="19"/>
    </row>
    <row r="76" spans="1:26" ht="12.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x14ac:dyDescent="0.2">
      <c r="A77" s="19"/>
      <c r="B77" s="19"/>
      <c r="C77" s="19"/>
      <c r="D77" s="19"/>
      <c r="E77" s="19"/>
      <c r="F77" s="1778" t="s">
        <v>303</v>
      </c>
      <c r="G77" s="1777"/>
      <c r="H77" s="1771"/>
      <c r="I77" s="193">
        <f>I75</f>
        <v>42122.053457999995</v>
      </c>
      <c r="J77" s="19"/>
      <c r="K77" s="19"/>
      <c r="L77" s="19"/>
      <c r="M77" s="19"/>
      <c r="N77" s="19"/>
      <c r="O77" s="19"/>
      <c r="P77" s="19"/>
      <c r="Q77" s="19"/>
      <c r="R77" s="19"/>
      <c r="S77" s="19"/>
      <c r="T77" s="19"/>
      <c r="U77" s="19"/>
      <c r="V77" s="19"/>
      <c r="W77" s="19"/>
      <c r="X77" s="19"/>
      <c r="Y77" s="19"/>
      <c r="Z77" s="19"/>
    </row>
    <row r="78" spans="1:26" ht="12.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21" customHeight="1" x14ac:dyDescent="0.35">
      <c r="A79" s="19"/>
      <c r="B79" s="18" t="s">
        <v>306</v>
      </c>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x14ac:dyDescent="0.2">
      <c r="A80" s="19"/>
      <c r="B80" s="1770" t="s">
        <v>310</v>
      </c>
      <c r="C80" s="1771"/>
      <c r="D80" s="19"/>
      <c r="E80" s="38"/>
      <c r="F80" s="19"/>
      <c r="G80" s="38"/>
      <c r="H80" s="19"/>
      <c r="I80" s="19"/>
      <c r="J80" s="19"/>
      <c r="K80" s="19"/>
      <c r="L80" s="19"/>
      <c r="M80" s="19"/>
      <c r="N80" s="19"/>
      <c r="O80" s="19"/>
      <c r="P80" s="19"/>
      <c r="Q80" s="19"/>
      <c r="R80" s="19"/>
      <c r="S80" s="19"/>
      <c r="T80" s="19"/>
      <c r="U80" s="19"/>
      <c r="V80" s="19"/>
      <c r="W80" s="19"/>
      <c r="X80" s="19"/>
      <c r="Y80" s="19"/>
      <c r="Z80" s="19"/>
    </row>
    <row r="81" spans="1:26" ht="12.75" customHeight="1" x14ac:dyDescent="0.2">
      <c r="A81" s="19"/>
      <c r="B81" s="19" t="s">
        <v>312</v>
      </c>
      <c r="C81" s="19" t="s">
        <v>68</v>
      </c>
      <c r="D81" s="19" t="s">
        <v>313</v>
      </c>
      <c r="E81" s="38">
        <v>15000000</v>
      </c>
      <c r="F81" s="19" t="s">
        <v>314</v>
      </c>
      <c r="G81" s="38">
        <v>1044</v>
      </c>
      <c r="H81" s="19" t="s">
        <v>315</v>
      </c>
      <c r="I81" s="38">
        <f t="shared" ref="I81:I88" si="8">(E81*G81)/1000000</f>
        <v>15660</v>
      </c>
      <c r="J81" s="38"/>
      <c r="K81" s="19"/>
      <c r="L81" s="19"/>
      <c r="M81" s="19"/>
      <c r="N81" s="19"/>
      <c r="O81" s="19"/>
      <c r="P81" s="19"/>
      <c r="Q81" s="19"/>
      <c r="R81" s="19"/>
      <c r="S81" s="19"/>
      <c r="T81" s="19"/>
      <c r="U81" s="19"/>
      <c r="V81" s="19"/>
      <c r="W81" s="19"/>
      <c r="X81" s="19"/>
      <c r="Y81" s="19"/>
      <c r="Z81" s="19"/>
    </row>
    <row r="82" spans="1:26" ht="12.75" customHeight="1" x14ac:dyDescent="0.2">
      <c r="A82" s="19"/>
      <c r="B82" s="19" t="s">
        <v>316</v>
      </c>
      <c r="C82" s="19" t="s">
        <v>77</v>
      </c>
      <c r="D82" s="19" t="s">
        <v>313</v>
      </c>
      <c r="E82" s="38">
        <v>15000000</v>
      </c>
      <c r="F82" s="19" t="s">
        <v>314</v>
      </c>
      <c r="G82" s="38">
        <v>1044</v>
      </c>
      <c r="H82" s="19" t="s">
        <v>315</v>
      </c>
      <c r="I82" s="38">
        <f t="shared" si="8"/>
        <v>15660</v>
      </c>
      <c r="J82" s="38"/>
      <c r="K82" s="19"/>
      <c r="L82" s="19"/>
      <c r="M82" s="19"/>
      <c r="N82" s="19"/>
      <c r="O82" s="19"/>
      <c r="P82" s="19"/>
      <c r="Q82" s="19"/>
      <c r="R82" s="19"/>
      <c r="S82" s="19"/>
      <c r="T82" s="19"/>
      <c r="U82" s="19"/>
      <c r="V82" s="19"/>
      <c r="W82" s="19"/>
      <c r="X82" s="19"/>
      <c r="Y82" s="19"/>
      <c r="Z82" s="19"/>
    </row>
    <row r="83" spans="1:26" ht="12.75" customHeight="1" x14ac:dyDescent="0.2">
      <c r="A83" s="19"/>
      <c r="B83" s="19" t="s">
        <v>318</v>
      </c>
      <c r="C83" s="19" t="s">
        <v>82</v>
      </c>
      <c r="D83" s="19" t="s">
        <v>313</v>
      </c>
      <c r="E83" s="38">
        <v>19000000</v>
      </c>
      <c r="F83" s="19" t="s">
        <v>314</v>
      </c>
      <c r="G83" s="38">
        <v>1044</v>
      </c>
      <c r="H83" s="19" t="s">
        <v>315</v>
      </c>
      <c r="I83" s="38">
        <f t="shared" si="8"/>
        <v>19836</v>
      </c>
      <c r="J83" s="38"/>
      <c r="K83" s="19"/>
      <c r="L83" s="19"/>
      <c r="M83" s="19"/>
      <c r="N83" s="19"/>
      <c r="O83" s="19"/>
      <c r="P83" s="19"/>
      <c r="Q83" s="19"/>
      <c r="R83" s="19"/>
      <c r="S83" s="19"/>
      <c r="T83" s="19"/>
      <c r="U83" s="19"/>
      <c r="V83" s="19"/>
      <c r="W83" s="19"/>
      <c r="X83" s="19"/>
      <c r="Y83" s="19"/>
      <c r="Z83" s="19"/>
    </row>
    <row r="84" spans="1:26" ht="12.75" customHeight="1" x14ac:dyDescent="0.2">
      <c r="A84" s="19"/>
      <c r="B84" s="19" t="s">
        <v>319</v>
      </c>
      <c r="C84" s="19" t="s">
        <v>87</v>
      </c>
      <c r="D84" s="19" t="s">
        <v>313</v>
      </c>
      <c r="E84" s="38">
        <v>20000000</v>
      </c>
      <c r="F84" s="19" t="s">
        <v>314</v>
      </c>
      <c r="G84" s="38">
        <v>1044</v>
      </c>
      <c r="H84" s="19" t="s">
        <v>315</v>
      </c>
      <c r="I84" s="38">
        <f t="shared" si="8"/>
        <v>20880</v>
      </c>
      <c r="J84" s="38"/>
      <c r="K84" s="19"/>
      <c r="L84" s="19"/>
      <c r="M84" s="19"/>
      <c r="N84" s="19"/>
      <c r="O84" s="19"/>
      <c r="P84" s="19"/>
      <c r="Q84" s="19"/>
      <c r="R84" s="19"/>
      <c r="S84" s="19"/>
      <c r="T84" s="19"/>
      <c r="U84" s="19"/>
      <c r="V84" s="19"/>
      <c r="W84" s="19"/>
      <c r="X84" s="19"/>
      <c r="Y84" s="19"/>
      <c r="Z84" s="19"/>
    </row>
    <row r="85" spans="1:26" ht="12.75" customHeight="1" x14ac:dyDescent="0.2">
      <c r="A85" s="19"/>
      <c r="B85" s="19" t="s">
        <v>321</v>
      </c>
      <c r="C85" s="19" t="s">
        <v>322</v>
      </c>
      <c r="D85" s="19" t="s">
        <v>313</v>
      </c>
      <c r="E85" s="38">
        <v>28000000</v>
      </c>
      <c r="F85" s="19" t="s">
        <v>314</v>
      </c>
      <c r="G85" s="38">
        <v>1044</v>
      </c>
      <c r="H85" s="19" t="s">
        <v>315</v>
      </c>
      <c r="I85" s="38">
        <f t="shared" si="8"/>
        <v>29232</v>
      </c>
      <c r="J85" s="38"/>
      <c r="K85" s="19"/>
      <c r="L85" s="19"/>
      <c r="M85" s="19"/>
      <c r="N85" s="19"/>
      <c r="O85" s="19"/>
      <c r="P85" s="19"/>
      <c r="Q85" s="19"/>
      <c r="R85" s="19"/>
      <c r="S85" s="19"/>
      <c r="T85" s="19"/>
      <c r="U85" s="19"/>
      <c r="V85" s="19"/>
      <c r="W85" s="19"/>
      <c r="X85" s="19"/>
      <c r="Y85" s="19"/>
      <c r="Z85" s="19"/>
    </row>
    <row r="86" spans="1:26" ht="12.75" customHeight="1" x14ac:dyDescent="0.2">
      <c r="A86" s="19"/>
      <c r="B86" s="19" t="s">
        <v>325</v>
      </c>
      <c r="C86" s="19" t="s">
        <v>326</v>
      </c>
      <c r="D86" s="19" t="s">
        <v>313</v>
      </c>
      <c r="E86" s="38">
        <v>25000000</v>
      </c>
      <c r="F86" s="19" t="s">
        <v>314</v>
      </c>
      <c r="G86" s="38">
        <v>1044</v>
      </c>
      <c r="H86" s="19" t="s">
        <v>315</v>
      </c>
      <c r="I86" s="38">
        <f t="shared" si="8"/>
        <v>26100</v>
      </c>
      <c r="J86" s="38"/>
      <c r="K86" s="19"/>
      <c r="L86" s="19"/>
      <c r="M86" s="19"/>
      <c r="N86" s="19"/>
      <c r="O86" s="19"/>
      <c r="P86" s="19"/>
      <c r="Q86" s="19"/>
      <c r="R86" s="19"/>
      <c r="S86" s="19"/>
      <c r="T86" s="19"/>
      <c r="U86" s="19"/>
      <c r="V86" s="19"/>
      <c r="W86" s="19"/>
      <c r="X86" s="19"/>
      <c r="Y86" s="19"/>
      <c r="Z86" s="19"/>
    </row>
    <row r="87" spans="1:26" ht="12.75" customHeight="1" x14ac:dyDescent="0.2">
      <c r="A87" s="19"/>
      <c r="B87" s="19" t="s">
        <v>328</v>
      </c>
      <c r="C87" s="19" t="s">
        <v>329</v>
      </c>
      <c r="D87" s="19" t="s">
        <v>313</v>
      </c>
      <c r="E87" s="38">
        <v>24000000</v>
      </c>
      <c r="F87" s="19" t="s">
        <v>314</v>
      </c>
      <c r="G87" s="38">
        <v>1044</v>
      </c>
      <c r="H87" s="19" t="s">
        <v>315</v>
      </c>
      <c r="I87" s="38">
        <f t="shared" si="8"/>
        <v>25056</v>
      </c>
      <c r="J87" s="38"/>
      <c r="K87" s="19"/>
      <c r="L87" s="19"/>
      <c r="M87" s="19"/>
      <c r="N87" s="19"/>
      <c r="O87" s="19"/>
      <c r="P87" s="19"/>
      <c r="Q87" s="19"/>
      <c r="R87" s="19"/>
      <c r="S87" s="19"/>
      <c r="T87" s="19"/>
      <c r="U87" s="19"/>
      <c r="V87" s="19"/>
      <c r="W87" s="19"/>
      <c r="X87" s="19"/>
      <c r="Y87" s="19"/>
      <c r="Z87" s="19"/>
    </row>
    <row r="88" spans="1:26" ht="12.75" customHeight="1" x14ac:dyDescent="0.2">
      <c r="A88" s="19"/>
      <c r="B88" s="19" t="s">
        <v>330</v>
      </c>
      <c r="C88" s="19" t="s">
        <v>331</v>
      </c>
      <c r="D88" s="19" t="s">
        <v>313</v>
      </c>
      <c r="E88" s="38">
        <v>19000000</v>
      </c>
      <c r="F88" s="19" t="s">
        <v>314</v>
      </c>
      <c r="G88" s="38">
        <v>1044</v>
      </c>
      <c r="H88" s="19" t="s">
        <v>315</v>
      </c>
      <c r="I88" s="38">
        <f t="shared" si="8"/>
        <v>19836</v>
      </c>
      <c r="J88" s="38"/>
      <c r="K88" s="19"/>
      <c r="L88" s="19"/>
      <c r="M88" s="19"/>
      <c r="N88" s="19"/>
      <c r="O88" s="19"/>
      <c r="P88" s="19"/>
      <c r="Q88" s="19"/>
      <c r="R88" s="19"/>
      <c r="S88" s="19"/>
      <c r="T88" s="19"/>
      <c r="U88" s="19"/>
      <c r="V88" s="19"/>
      <c r="W88" s="19"/>
      <c r="X88" s="19"/>
      <c r="Y88" s="19"/>
      <c r="Z88" s="19"/>
    </row>
    <row r="89" spans="1:26" ht="12.75" customHeight="1" x14ac:dyDescent="0.2">
      <c r="A89" s="19"/>
      <c r="B89" s="19"/>
      <c r="C89" s="19"/>
      <c r="D89" s="19"/>
      <c r="E89" s="19"/>
      <c r="F89" s="19"/>
      <c r="G89" s="19"/>
      <c r="H89" s="23" t="s">
        <v>335</v>
      </c>
      <c r="I89" s="88">
        <f>SUM(I81:I88)</f>
        <v>172260</v>
      </c>
      <c r="J89" s="19"/>
      <c r="K89" s="19"/>
      <c r="L89" s="19"/>
      <c r="M89" s="19"/>
      <c r="N89" s="19"/>
      <c r="O89" s="19"/>
      <c r="P89" s="19"/>
      <c r="Q89" s="19"/>
      <c r="R89" s="19"/>
      <c r="S89" s="19"/>
      <c r="T89" s="19"/>
      <c r="U89" s="19"/>
      <c r="V89" s="19"/>
      <c r="W89" s="19"/>
      <c r="X89" s="19"/>
      <c r="Y89" s="19"/>
      <c r="Z89" s="19"/>
    </row>
    <row r="90" spans="1:26" ht="12.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x14ac:dyDescent="0.2">
      <c r="A91" s="19"/>
      <c r="B91" s="19"/>
      <c r="C91" s="19"/>
      <c r="D91" s="19"/>
      <c r="E91" s="19"/>
      <c r="F91" s="1778" t="s">
        <v>335</v>
      </c>
      <c r="G91" s="1777"/>
      <c r="H91" s="1771"/>
      <c r="I91" s="187">
        <f>I89</f>
        <v>172260</v>
      </c>
      <c r="J91" s="19"/>
      <c r="K91" s="19"/>
      <c r="L91" s="19"/>
      <c r="M91" s="19"/>
      <c r="N91" s="19"/>
      <c r="O91" s="19"/>
      <c r="P91" s="19"/>
      <c r="Q91" s="19"/>
      <c r="R91" s="19"/>
      <c r="S91" s="19"/>
      <c r="T91" s="19"/>
      <c r="U91" s="19"/>
      <c r="V91" s="19"/>
      <c r="W91" s="19"/>
      <c r="X91" s="19"/>
      <c r="Y91" s="19"/>
      <c r="Z91" s="19"/>
    </row>
    <row r="92" spans="1:26" ht="12.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8.75" customHeight="1" x14ac:dyDescent="0.3">
      <c r="A97" s="19"/>
      <c r="B97" s="203" t="s">
        <v>345</v>
      </c>
      <c r="C97" s="204"/>
      <c r="D97" s="204"/>
      <c r="E97" s="19"/>
      <c r="F97" s="19"/>
      <c r="G97" s="19"/>
      <c r="H97" s="19"/>
      <c r="I97" s="19"/>
      <c r="J97" s="19"/>
      <c r="K97" s="19"/>
      <c r="L97" s="19"/>
      <c r="M97" s="19"/>
      <c r="N97" s="19"/>
      <c r="O97" s="19"/>
      <c r="P97" s="19"/>
      <c r="Q97" s="19"/>
      <c r="R97" s="19"/>
      <c r="S97" s="19"/>
      <c r="T97" s="19"/>
      <c r="U97" s="19"/>
      <c r="V97" s="19"/>
      <c r="W97" s="19"/>
      <c r="X97" s="19"/>
      <c r="Y97" s="19"/>
      <c r="Z97" s="19"/>
    </row>
    <row r="98" spans="1:26" ht="18.75" customHeight="1" x14ac:dyDescent="0.3">
      <c r="A98" s="19"/>
      <c r="B98" s="1772" t="s">
        <v>347</v>
      </c>
      <c r="C98" s="1766"/>
      <c r="D98" s="1766"/>
      <c r="E98" s="203">
        <v>2006</v>
      </c>
      <c r="F98" s="205"/>
      <c r="G98" s="205"/>
      <c r="H98" s="205"/>
      <c r="I98" s="205"/>
      <c r="J98" s="19"/>
      <c r="K98" s="19"/>
      <c r="L98" s="19"/>
      <c r="M98" s="19"/>
      <c r="N98" s="19"/>
      <c r="O98" s="19"/>
      <c r="P98" s="19"/>
      <c r="Q98" s="19"/>
      <c r="R98" s="19"/>
      <c r="S98" s="19"/>
      <c r="T98" s="19"/>
      <c r="U98" s="19"/>
      <c r="V98" s="19"/>
      <c r="W98" s="19"/>
      <c r="X98" s="19"/>
      <c r="Y98" s="19"/>
      <c r="Z98" s="19"/>
    </row>
    <row r="99" spans="1:26" ht="13.5" customHeight="1" x14ac:dyDescent="0.2">
      <c r="A99" s="19"/>
      <c r="B99" s="205"/>
      <c r="C99" s="205"/>
      <c r="D99" s="205"/>
      <c r="E99" s="205"/>
      <c r="F99" s="205"/>
      <c r="G99" s="205"/>
      <c r="H99" s="205"/>
      <c r="I99" s="205"/>
      <c r="J99" s="19"/>
      <c r="K99" s="19"/>
      <c r="L99" s="19"/>
      <c r="M99" s="19"/>
      <c r="N99" s="19"/>
      <c r="O99" s="19"/>
      <c r="P99" s="19"/>
      <c r="Q99" s="19"/>
      <c r="R99" s="19"/>
      <c r="S99" s="19"/>
      <c r="T99" s="19"/>
      <c r="U99" s="19"/>
      <c r="V99" s="19"/>
      <c r="W99" s="19"/>
      <c r="X99" s="19"/>
      <c r="Y99" s="19"/>
      <c r="Z99" s="19"/>
    </row>
    <row r="100" spans="1:26" ht="13.5" customHeight="1" x14ac:dyDescent="0.2">
      <c r="A100" s="19"/>
      <c r="B100" s="206"/>
      <c r="C100" s="207" t="s">
        <v>351</v>
      </c>
      <c r="D100" s="207" t="s">
        <v>354</v>
      </c>
      <c r="E100" s="207" t="s">
        <v>355</v>
      </c>
      <c r="F100" s="208" t="s">
        <v>356</v>
      </c>
      <c r="G100" s="208" t="s">
        <v>356</v>
      </c>
      <c r="H100" s="208" t="s">
        <v>356</v>
      </c>
      <c r="I100" s="208" t="s">
        <v>356</v>
      </c>
      <c r="J100" s="209" t="s">
        <v>356</v>
      </c>
      <c r="K100" s="19"/>
      <c r="L100" s="19"/>
      <c r="M100" s="19"/>
      <c r="N100" s="19"/>
      <c r="O100" s="19"/>
      <c r="P100" s="19"/>
      <c r="Q100" s="19"/>
      <c r="R100" s="19"/>
      <c r="S100" s="19"/>
      <c r="T100" s="19"/>
      <c r="U100" s="19"/>
      <c r="V100" s="19"/>
      <c r="W100" s="19"/>
      <c r="X100" s="19"/>
      <c r="Y100" s="19"/>
      <c r="Z100" s="19"/>
    </row>
    <row r="101" spans="1:26" ht="14.25" customHeight="1" x14ac:dyDescent="0.25">
      <c r="A101" s="19"/>
      <c r="B101" s="210" t="s">
        <v>20</v>
      </c>
      <c r="C101" s="211" t="s">
        <v>362</v>
      </c>
      <c r="D101" s="211" t="s">
        <v>363</v>
      </c>
      <c r="E101" s="211" t="s">
        <v>364</v>
      </c>
      <c r="F101" s="211" t="s">
        <v>365</v>
      </c>
      <c r="G101" s="211" t="s">
        <v>366</v>
      </c>
      <c r="H101" s="211" t="s">
        <v>367</v>
      </c>
      <c r="I101" s="211" t="s">
        <v>368</v>
      </c>
      <c r="J101" s="212" t="s">
        <v>369</v>
      </c>
      <c r="K101" s="19"/>
      <c r="L101" s="19"/>
      <c r="M101" s="19"/>
      <c r="N101" s="19"/>
      <c r="O101" s="19"/>
      <c r="P101" s="19"/>
      <c r="Q101" s="19"/>
      <c r="R101" s="19"/>
      <c r="S101" s="19"/>
      <c r="T101" s="19"/>
      <c r="U101" s="19"/>
      <c r="V101" s="19"/>
      <c r="W101" s="19"/>
      <c r="X101" s="19"/>
      <c r="Y101" s="19"/>
      <c r="Z101" s="19"/>
    </row>
    <row r="102" spans="1:26" ht="12.75" customHeight="1" x14ac:dyDescent="0.2">
      <c r="A102" s="19"/>
      <c r="B102" s="213" t="s">
        <v>40</v>
      </c>
      <c r="C102" s="214">
        <v>0</v>
      </c>
      <c r="D102" s="215">
        <v>55.80081818181818</v>
      </c>
      <c r="E102" s="216">
        <v>1</v>
      </c>
      <c r="F102" s="217">
        <f t="shared" ref="F102:F105" si="9">C102*1000*D102*E102/2000</f>
        <v>0</v>
      </c>
      <c r="G102" s="217">
        <f t="shared" ref="G102:G105" si="10">F102*(44/12)</f>
        <v>0</v>
      </c>
      <c r="H102" s="218">
        <f t="shared" ref="H102:H105" si="11">G102*0.9072</f>
        <v>0</v>
      </c>
      <c r="I102" s="219">
        <f t="shared" ref="I102:I105" si="12">H102/1000000</f>
        <v>0</v>
      </c>
      <c r="J102" s="220">
        <f t="shared" ref="J102:J105" si="13">I102*(12/44)</f>
        <v>0</v>
      </c>
      <c r="K102" s="19"/>
      <c r="L102" s="19"/>
      <c r="M102" s="19"/>
      <c r="N102" s="19"/>
      <c r="O102" s="19"/>
      <c r="P102" s="19"/>
      <c r="Q102" s="19"/>
      <c r="R102" s="19"/>
      <c r="S102" s="19"/>
      <c r="T102" s="19"/>
      <c r="U102" s="19"/>
      <c r="V102" s="19"/>
      <c r="W102" s="19"/>
      <c r="X102" s="19"/>
      <c r="Y102" s="19"/>
      <c r="Z102" s="19"/>
    </row>
    <row r="103" spans="1:26" ht="12.75" customHeight="1" x14ac:dyDescent="0.2">
      <c r="A103" s="19"/>
      <c r="B103" s="213" t="s">
        <v>383</v>
      </c>
      <c r="C103" s="214">
        <f>I66/1000</f>
        <v>556.60082598899999</v>
      </c>
      <c r="D103" s="215">
        <v>43.942731277533035</v>
      </c>
      <c r="E103" s="216">
        <v>1</v>
      </c>
      <c r="F103" s="217">
        <f t="shared" si="9"/>
        <v>12229.280262643777</v>
      </c>
      <c r="G103" s="217">
        <f t="shared" si="10"/>
        <v>44840.694296360511</v>
      </c>
      <c r="H103" s="218">
        <f t="shared" si="11"/>
        <v>40679.477865658257</v>
      </c>
      <c r="I103" s="219">
        <f t="shared" si="12"/>
        <v>4.0679477865658259E-2</v>
      </c>
      <c r="J103" s="220">
        <f t="shared" si="13"/>
        <v>1.1094403054270433E-2</v>
      </c>
      <c r="K103" s="19"/>
      <c r="L103" s="19"/>
      <c r="M103" s="19"/>
      <c r="N103" s="19"/>
      <c r="O103" s="19"/>
      <c r="P103" s="19"/>
      <c r="Q103" s="19"/>
      <c r="R103" s="19"/>
      <c r="S103" s="19"/>
      <c r="T103" s="19"/>
      <c r="U103" s="19"/>
      <c r="V103" s="19"/>
      <c r="W103" s="19"/>
      <c r="X103" s="19"/>
      <c r="Y103" s="19"/>
      <c r="Z103" s="19"/>
    </row>
    <row r="104" spans="1:26" ht="12.75" customHeight="1" x14ac:dyDescent="0.2">
      <c r="A104" s="19"/>
      <c r="B104" s="213" t="s">
        <v>392</v>
      </c>
      <c r="C104" s="214">
        <f>I77/1000</f>
        <v>42.122053457999996</v>
      </c>
      <c r="D104" s="215">
        <v>47.33480176211453</v>
      </c>
      <c r="E104" s="216">
        <v>1</v>
      </c>
      <c r="F104" s="217">
        <f t="shared" si="9"/>
        <v>996.91952512381033</v>
      </c>
      <c r="G104" s="217">
        <f t="shared" si="10"/>
        <v>3655.3715921206376</v>
      </c>
      <c r="H104" s="218">
        <f t="shared" si="11"/>
        <v>3316.1531083718423</v>
      </c>
      <c r="I104" s="219">
        <f t="shared" si="12"/>
        <v>3.3161531083718424E-3</v>
      </c>
      <c r="J104" s="220">
        <f t="shared" si="13"/>
        <v>9.0440539319232055E-4</v>
      </c>
      <c r="K104" s="19"/>
      <c r="L104" s="19"/>
      <c r="M104" s="19"/>
      <c r="N104" s="19"/>
      <c r="O104" s="19"/>
      <c r="P104" s="19"/>
      <c r="Q104" s="19"/>
      <c r="R104" s="19"/>
      <c r="S104" s="19"/>
      <c r="T104" s="19"/>
      <c r="U104" s="19"/>
      <c r="V104" s="19"/>
      <c r="W104" s="19"/>
      <c r="X104" s="19"/>
      <c r="Y104" s="19"/>
      <c r="Z104" s="19"/>
    </row>
    <row r="105" spans="1:26" ht="12.75" customHeight="1" x14ac:dyDescent="0.2">
      <c r="A105" s="19"/>
      <c r="B105" s="213" t="s">
        <v>63</v>
      </c>
      <c r="C105" s="214">
        <f>I91/1000</f>
        <v>172.26</v>
      </c>
      <c r="D105" s="215">
        <v>31.872246696035241</v>
      </c>
      <c r="E105" s="216">
        <v>1</v>
      </c>
      <c r="F105" s="217">
        <f t="shared" si="9"/>
        <v>2745.1566079295153</v>
      </c>
      <c r="G105" s="217">
        <f t="shared" si="10"/>
        <v>10065.574229074889</v>
      </c>
      <c r="H105" s="218">
        <f t="shared" si="11"/>
        <v>9131.4889406167404</v>
      </c>
      <c r="I105" s="219">
        <f t="shared" si="12"/>
        <v>9.1314889406167409E-3</v>
      </c>
      <c r="J105" s="220">
        <f t="shared" si="13"/>
        <v>2.4904060747136564E-3</v>
      </c>
      <c r="K105" s="19"/>
      <c r="L105" s="19"/>
      <c r="M105" s="19"/>
      <c r="N105" s="19"/>
      <c r="O105" s="19"/>
      <c r="P105" s="19"/>
      <c r="Q105" s="19"/>
      <c r="R105" s="19"/>
      <c r="S105" s="19"/>
      <c r="T105" s="19"/>
      <c r="U105" s="19"/>
      <c r="V105" s="19"/>
      <c r="W105" s="19"/>
      <c r="X105" s="19"/>
      <c r="Y105" s="19"/>
      <c r="Z105" s="19"/>
    </row>
    <row r="106" spans="1:26" ht="13.5" customHeight="1" x14ac:dyDescent="0.2">
      <c r="A106" s="19"/>
      <c r="B106" s="1779" t="s">
        <v>398</v>
      </c>
      <c r="C106" s="1780"/>
      <c r="D106" s="1780"/>
      <c r="E106" s="1780"/>
      <c r="F106" s="1781"/>
      <c r="G106" s="223">
        <f t="shared" ref="G106:I106" si="14">SUM(G102:G105)</f>
        <v>58561.640117556039</v>
      </c>
      <c r="H106" s="224">
        <f t="shared" si="14"/>
        <v>53127.119914646843</v>
      </c>
      <c r="I106" s="225">
        <f t="shared" si="14"/>
        <v>5.3127119914646845E-2</v>
      </c>
      <c r="J106" s="226"/>
      <c r="K106" s="19"/>
      <c r="L106" s="19"/>
      <c r="M106" s="19"/>
      <c r="N106" s="19"/>
      <c r="O106" s="19"/>
      <c r="P106" s="19"/>
      <c r="Q106" s="19"/>
      <c r="R106" s="19"/>
      <c r="S106" s="19"/>
      <c r="T106" s="19"/>
      <c r="U106" s="19"/>
      <c r="V106" s="19"/>
      <c r="W106" s="19"/>
      <c r="X106" s="19"/>
      <c r="Y106" s="19"/>
      <c r="Z106" s="19"/>
    </row>
    <row r="107" spans="1:26" ht="13.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8.75" customHeight="1" x14ac:dyDescent="0.3">
      <c r="A109" s="19"/>
      <c r="B109" s="203" t="s">
        <v>345</v>
      </c>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8.75" customHeight="1" x14ac:dyDescent="0.3">
      <c r="A110" s="19"/>
      <c r="B110" s="1772" t="s">
        <v>409</v>
      </c>
      <c r="C110" s="1766"/>
      <c r="D110" s="1766"/>
      <c r="E110" s="203">
        <v>2006</v>
      </c>
      <c r="F110" s="205"/>
      <c r="G110" s="205"/>
      <c r="H110" s="205"/>
      <c r="I110" s="205"/>
      <c r="J110" s="19"/>
      <c r="K110" s="19"/>
      <c r="L110" s="19"/>
      <c r="M110" s="19"/>
      <c r="N110" s="19"/>
      <c r="O110" s="19"/>
      <c r="P110" s="19"/>
      <c r="Q110" s="19"/>
      <c r="R110" s="19"/>
      <c r="S110" s="19"/>
      <c r="T110" s="19"/>
      <c r="U110" s="19"/>
      <c r="V110" s="19"/>
      <c r="W110" s="19"/>
      <c r="X110" s="19"/>
      <c r="Y110" s="19"/>
      <c r="Z110" s="19"/>
    </row>
    <row r="111" spans="1:26" ht="13.5" customHeight="1" x14ac:dyDescent="0.2">
      <c r="A111" s="19"/>
      <c r="B111" s="205"/>
      <c r="C111" s="205"/>
      <c r="D111" s="205"/>
      <c r="E111" s="205"/>
      <c r="F111" s="205"/>
      <c r="G111" s="205"/>
      <c r="H111" s="205"/>
      <c r="I111" s="205"/>
      <c r="J111" s="19"/>
      <c r="K111" s="19"/>
      <c r="L111" s="19"/>
      <c r="M111" s="19"/>
      <c r="N111" s="19"/>
      <c r="O111" s="19"/>
      <c r="P111" s="19"/>
      <c r="Q111" s="19"/>
      <c r="R111" s="19"/>
      <c r="S111" s="19"/>
      <c r="T111" s="19"/>
      <c r="U111" s="19"/>
      <c r="V111" s="19"/>
      <c r="W111" s="19"/>
      <c r="X111" s="19"/>
      <c r="Y111" s="19"/>
      <c r="Z111" s="19"/>
    </row>
    <row r="112" spans="1:26" ht="13.5" customHeight="1" x14ac:dyDescent="0.2">
      <c r="A112" s="19"/>
      <c r="B112" s="227"/>
      <c r="C112" s="228" t="s">
        <v>351</v>
      </c>
      <c r="D112" s="229" t="s">
        <v>354</v>
      </c>
      <c r="E112" s="229" t="s">
        <v>356</v>
      </c>
      <c r="F112" s="228" t="s">
        <v>414</v>
      </c>
      <c r="G112" s="230" t="s">
        <v>356</v>
      </c>
      <c r="H112" s="205"/>
      <c r="I112" s="1769" t="s">
        <v>1</v>
      </c>
      <c r="J112" s="1759"/>
      <c r="K112" s="19"/>
      <c r="L112" s="19"/>
      <c r="M112" s="19"/>
      <c r="N112" s="19"/>
      <c r="O112" s="19"/>
      <c r="P112" s="19"/>
      <c r="Q112" s="19"/>
      <c r="R112" s="19"/>
      <c r="S112" s="19"/>
      <c r="T112" s="19"/>
      <c r="U112" s="19"/>
      <c r="V112" s="19"/>
      <c r="W112" s="19"/>
      <c r="X112" s="19"/>
      <c r="Y112" s="19"/>
      <c r="Z112" s="19"/>
    </row>
    <row r="113" spans="1:26" ht="14.25" customHeight="1" x14ac:dyDescent="0.25">
      <c r="A113" s="19"/>
      <c r="B113" s="231" t="s">
        <v>20</v>
      </c>
      <c r="C113" s="232" t="s">
        <v>362</v>
      </c>
      <c r="D113" s="233" t="s">
        <v>418</v>
      </c>
      <c r="E113" s="233" t="s">
        <v>419</v>
      </c>
      <c r="F113" s="232"/>
      <c r="G113" s="234" t="s">
        <v>420</v>
      </c>
      <c r="H113" s="211"/>
      <c r="I113" s="235"/>
      <c r="J113" s="235"/>
      <c r="K113" s="19"/>
      <c r="L113" s="19"/>
      <c r="M113" s="19"/>
      <c r="N113" s="19"/>
      <c r="O113" s="19"/>
      <c r="P113" s="19"/>
      <c r="Q113" s="19"/>
      <c r="R113" s="19"/>
      <c r="S113" s="19"/>
      <c r="T113" s="19"/>
      <c r="U113" s="19"/>
      <c r="V113" s="19"/>
      <c r="W113" s="19"/>
      <c r="X113" s="19"/>
      <c r="Y113" s="19"/>
      <c r="Z113" s="19"/>
    </row>
    <row r="114" spans="1:26" ht="12.75" customHeight="1" x14ac:dyDescent="0.2">
      <c r="A114" s="19"/>
      <c r="B114" s="213" t="s">
        <v>40</v>
      </c>
      <c r="C114" s="214">
        <v>0</v>
      </c>
      <c r="D114" s="236">
        <v>1.0023030599890001E-3</v>
      </c>
      <c r="E114" s="237">
        <f t="shared" ref="E114:E117" si="15">C114*D114</f>
        <v>0</v>
      </c>
      <c r="F114" s="217">
        <f t="shared" ref="F114:F117" si="16">$J$115</f>
        <v>27.9</v>
      </c>
      <c r="G114" s="238">
        <f t="shared" ref="G114:G117" si="17">E114*F114/1000000</f>
        <v>0</v>
      </c>
      <c r="H114" s="239"/>
      <c r="I114" s="240" t="s">
        <v>433</v>
      </c>
      <c r="J114" s="241">
        <f>Summary!E4</f>
        <v>1</v>
      </c>
      <c r="K114" s="19"/>
      <c r="L114" s="19"/>
      <c r="M114" s="19"/>
      <c r="N114" s="19"/>
      <c r="O114" s="19"/>
      <c r="P114" s="19"/>
      <c r="Q114" s="19"/>
      <c r="R114" s="19"/>
      <c r="S114" s="19"/>
      <c r="T114" s="19"/>
      <c r="U114" s="19"/>
      <c r="V114" s="19"/>
      <c r="W114" s="19"/>
      <c r="X114" s="19"/>
      <c r="Y114" s="19"/>
      <c r="Z114" s="19"/>
    </row>
    <row r="115" spans="1:26" ht="12.75" customHeight="1" x14ac:dyDescent="0.2">
      <c r="A115" s="19"/>
      <c r="B115" s="213" t="s">
        <v>383</v>
      </c>
      <c r="C115" s="214">
        <f t="shared" ref="C115:C117" si="18">C103</f>
        <v>556.60082598899999</v>
      </c>
      <c r="D115" s="236">
        <v>3.006909179967E-3</v>
      </c>
      <c r="E115" s="237">
        <f t="shared" si="15"/>
        <v>1.6736481332435389</v>
      </c>
      <c r="F115" s="217">
        <f t="shared" si="16"/>
        <v>27.9</v>
      </c>
      <c r="G115" s="242">
        <f t="shared" si="17"/>
        <v>4.6694782917494734E-5</v>
      </c>
      <c r="H115" s="239"/>
      <c r="I115" s="240" t="s">
        <v>438</v>
      </c>
      <c r="J115" s="241">
        <f>Summary!E5</f>
        <v>27.9</v>
      </c>
      <c r="K115" s="19"/>
      <c r="L115" s="19"/>
      <c r="M115" s="19"/>
      <c r="N115" s="19"/>
      <c r="O115" s="19"/>
      <c r="P115" s="19"/>
      <c r="Q115" s="19"/>
      <c r="R115" s="19"/>
      <c r="S115" s="19"/>
      <c r="T115" s="19"/>
      <c r="U115" s="19"/>
      <c r="V115" s="19"/>
      <c r="W115" s="19"/>
      <c r="X115" s="19"/>
      <c r="Y115" s="19"/>
      <c r="Z115" s="19"/>
    </row>
    <row r="116" spans="1:26" ht="12.75" customHeight="1" x14ac:dyDescent="0.2">
      <c r="A116" s="19"/>
      <c r="B116" s="213" t="s">
        <v>392</v>
      </c>
      <c r="C116" s="214">
        <f t="shared" si="18"/>
        <v>42.122053457999996</v>
      </c>
      <c r="D116" s="236">
        <v>3.006909179967E-3</v>
      </c>
      <c r="E116" s="237">
        <f t="shared" si="15"/>
        <v>0.1266571892219209</v>
      </c>
      <c r="F116" s="217">
        <f t="shared" si="16"/>
        <v>27.9</v>
      </c>
      <c r="G116" s="243">
        <f t="shared" si="17"/>
        <v>3.5337355792915929E-6</v>
      </c>
      <c r="H116" s="244"/>
      <c r="I116" s="240" t="s">
        <v>444</v>
      </c>
      <c r="J116" s="241">
        <f>Summary!E6</f>
        <v>273</v>
      </c>
      <c r="K116" s="19"/>
      <c r="L116" s="19"/>
      <c r="M116" s="19"/>
      <c r="N116" s="19"/>
      <c r="O116" s="19"/>
      <c r="P116" s="19"/>
      <c r="Q116" s="19"/>
      <c r="R116" s="19"/>
      <c r="S116" s="19"/>
      <c r="T116" s="19"/>
      <c r="U116" s="19"/>
      <c r="V116" s="19"/>
      <c r="W116" s="19"/>
      <c r="X116" s="19"/>
      <c r="Y116" s="19"/>
      <c r="Z116" s="19"/>
    </row>
    <row r="117" spans="1:26" ht="12.75" customHeight="1" x14ac:dyDescent="0.2">
      <c r="A117" s="19"/>
      <c r="B117" s="213" t="s">
        <v>63</v>
      </c>
      <c r="C117" s="214">
        <f t="shared" si="18"/>
        <v>172.26</v>
      </c>
      <c r="D117" s="236">
        <v>9.4955026735800007E-4</v>
      </c>
      <c r="E117" s="237">
        <f t="shared" si="15"/>
        <v>0.16356952905508909</v>
      </c>
      <c r="F117" s="217">
        <f t="shared" si="16"/>
        <v>27.9</v>
      </c>
      <c r="G117" s="243">
        <f t="shared" si="17"/>
        <v>4.5635898606369847E-6</v>
      </c>
      <c r="H117" s="244"/>
      <c r="I117" s="240" t="s">
        <v>447</v>
      </c>
      <c r="J117" s="247">
        <f>Summary!E7</f>
        <v>24300</v>
      </c>
      <c r="K117" s="19"/>
      <c r="L117" s="19"/>
      <c r="M117" s="19"/>
      <c r="N117" s="19"/>
      <c r="O117" s="19"/>
      <c r="P117" s="19"/>
      <c r="Q117" s="19"/>
      <c r="R117" s="19"/>
      <c r="S117" s="19"/>
      <c r="T117" s="19"/>
      <c r="U117" s="19"/>
      <c r="V117" s="19"/>
      <c r="W117" s="19"/>
      <c r="X117" s="19"/>
      <c r="Y117" s="19"/>
      <c r="Z117" s="19"/>
    </row>
    <row r="118" spans="1:26" ht="13.5" customHeight="1" x14ac:dyDescent="0.2">
      <c r="A118" s="19"/>
      <c r="B118" s="1782"/>
      <c r="C118" s="1780"/>
      <c r="D118" s="1780"/>
      <c r="E118" s="1780"/>
      <c r="F118" s="248" t="s">
        <v>95</v>
      </c>
      <c r="G118" s="249">
        <f>SUM(G114:G117)</f>
        <v>5.4792108357423308E-5</v>
      </c>
      <c r="H118" s="205"/>
      <c r="I118" s="240"/>
      <c r="J118" s="247"/>
      <c r="K118" s="19"/>
      <c r="L118" s="19"/>
      <c r="M118" s="19"/>
      <c r="N118" s="19"/>
      <c r="O118" s="19"/>
      <c r="P118" s="19"/>
      <c r="Q118" s="19"/>
      <c r="R118" s="19"/>
      <c r="S118" s="19"/>
      <c r="T118" s="19"/>
      <c r="U118" s="19"/>
      <c r="V118" s="19"/>
      <c r="W118" s="19"/>
      <c r="X118" s="19"/>
      <c r="Y118" s="19"/>
      <c r="Z118" s="19"/>
    </row>
    <row r="119" spans="1:26" ht="13.5" customHeight="1" x14ac:dyDescent="0.2">
      <c r="A119" s="19"/>
      <c r="B119" s="205"/>
      <c r="C119" s="19"/>
      <c r="D119" s="19"/>
      <c r="E119" s="19"/>
      <c r="F119" s="252"/>
      <c r="G119" s="253"/>
      <c r="H119" s="205"/>
      <c r="I119" s="19"/>
      <c r="J119" s="19"/>
      <c r="K119" s="19"/>
      <c r="L119" s="19"/>
      <c r="M119" s="19"/>
      <c r="N119" s="19"/>
      <c r="O119" s="19"/>
      <c r="P119" s="19"/>
      <c r="Q119" s="19"/>
      <c r="R119" s="19"/>
      <c r="S119" s="19"/>
      <c r="T119" s="19"/>
      <c r="U119" s="19"/>
      <c r="V119" s="19"/>
      <c r="W119" s="19"/>
      <c r="X119" s="19"/>
      <c r="Y119" s="19"/>
      <c r="Z119" s="19"/>
    </row>
    <row r="120" spans="1:26" ht="12.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8.75" customHeight="1" x14ac:dyDescent="0.3">
      <c r="A121" s="19"/>
      <c r="B121" s="203" t="s">
        <v>345</v>
      </c>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8.75" customHeight="1" x14ac:dyDescent="0.3">
      <c r="A122" s="19"/>
      <c r="B122" s="1772" t="s">
        <v>456</v>
      </c>
      <c r="C122" s="1766"/>
      <c r="D122" s="1766"/>
      <c r="E122" s="203">
        <v>2006</v>
      </c>
      <c r="F122" s="205"/>
      <c r="G122" s="205"/>
      <c r="H122" s="205"/>
      <c r="I122" s="205"/>
      <c r="J122" s="19"/>
      <c r="K122" s="19"/>
      <c r="L122" s="19"/>
      <c r="M122" s="19"/>
      <c r="N122" s="19"/>
      <c r="O122" s="19"/>
      <c r="P122" s="19"/>
      <c r="Q122" s="19"/>
      <c r="R122" s="19"/>
      <c r="S122" s="19"/>
      <c r="T122" s="19"/>
      <c r="U122" s="19"/>
      <c r="V122" s="19"/>
      <c r="W122" s="19"/>
      <c r="X122" s="19"/>
      <c r="Y122" s="19"/>
      <c r="Z122" s="19"/>
    </row>
    <row r="123" spans="1:26" ht="13.5" customHeight="1" x14ac:dyDescent="0.2">
      <c r="A123" s="19"/>
      <c r="B123" s="19"/>
      <c r="C123" s="205"/>
      <c r="D123" s="205"/>
      <c r="E123" s="205"/>
      <c r="F123" s="205"/>
      <c r="G123" s="205"/>
      <c r="H123" s="205"/>
      <c r="I123" s="205"/>
      <c r="J123" s="19"/>
      <c r="K123" s="19"/>
      <c r="L123" s="19"/>
      <c r="M123" s="19"/>
      <c r="N123" s="19"/>
      <c r="O123" s="19"/>
      <c r="P123" s="19"/>
      <c r="Q123" s="19"/>
      <c r="R123" s="19"/>
      <c r="S123" s="19"/>
      <c r="T123" s="19"/>
      <c r="U123" s="19"/>
      <c r="V123" s="19"/>
      <c r="W123" s="19"/>
      <c r="X123" s="19"/>
      <c r="Y123" s="19"/>
      <c r="Z123" s="19"/>
    </row>
    <row r="124" spans="1:26" ht="13.5" customHeight="1" x14ac:dyDescent="0.2">
      <c r="A124" s="19"/>
      <c r="B124" s="1783" t="s">
        <v>20</v>
      </c>
      <c r="C124" s="255" t="s">
        <v>351</v>
      </c>
      <c r="D124" s="256" t="s">
        <v>354</v>
      </c>
      <c r="E124" s="256" t="s">
        <v>460</v>
      </c>
      <c r="F124" s="255" t="s">
        <v>414</v>
      </c>
      <c r="G124" s="257" t="s">
        <v>356</v>
      </c>
      <c r="H124" s="205"/>
      <c r="I124" s="19"/>
      <c r="J124" s="19"/>
      <c r="K124" s="19"/>
      <c r="L124" s="19"/>
      <c r="M124" s="19"/>
      <c r="N124" s="19"/>
      <c r="O124" s="19"/>
      <c r="P124" s="19"/>
      <c r="Q124" s="19"/>
      <c r="R124" s="19"/>
      <c r="S124" s="19"/>
      <c r="T124" s="19"/>
      <c r="U124" s="19"/>
      <c r="V124" s="19"/>
      <c r="W124" s="19"/>
      <c r="X124" s="19"/>
      <c r="Y124" s="19"/>
      <c r="Z124" s="19"/>
    </row>
    <row r="125" spans="1:26" ht="14.25" customHeight="1" x14ac:dyDescent="0.25">
      <c r="A125" s="19"/>
      <c r="B125" s="1784"/>
      <c r="C125" s="258" t="s">
        <v>362</v>
      </c>
      <c r="D125" s="259" t="s">
        <v>463</v>
      </c>
      <c r="E125" s="259" t="s">
        <v>464</v>
      </c>
      <c r="F125" s="258"/>
      <c r="G125" s="260" t="s">
        <v>466</v>
      </c>
      <c r="H125" s="211"/>
      <c r="I125" s="19"/>
      <c r="J125" s="19"/>
      <c r="K125" s="19"/>
      <c r="L125" s="19"/>
      <c r="M125" s="19"/>
      <c r="N125" s="19"/>
      <c r="O125" s="19"/>
      <c r="P125" s="19"/>
      <c r="Q125" s="19"/>
      <c r="R125" s="19"/>
      <c r="S125" s="19"/>
      <c r="T125" s="19"/>
      <c r="U125" s="19"/>
      <c r="V125" s="19"/>
      <c r="W125" s="19"/>
      <c r="X125" s="19"/>
      <c r="Y125" s="19"/>
      <c r="Z125" s="19"/>
    </row>
    <row r="126" spans="1:26" ht="12.75" customHeight="1" x14ac:dyDescent="0.2">
      <c r="A126" s="19"/>
      <c r="B126" s="261" t="s">
        <v>40</v>
      </c>
      <c r="C126" s="263">
        <v>0</v>
      </c>
      <c r="D126" s="264">
        <v>1.5034545899835E-3</v>
      </c>
      <c r="E126" s="265">
        <f t="shared" ref="E126:E129" si="19">C126*D126</f>
        <v>0</v>
      </c>
      <c r="F126" s="266">
        <f t="shared" ref="F126:F129" si="20">$J$116</f>
        <v>273</v>
      </c>
      <c r="G126" s="269">
        <f t="shared" ref="G126:G129" si="21">E126*F126/1000000</f>
        <v>0</v>
      </c>
      <c r="H126" s="270"/>
      <c r="I126" s="19"/>
      <c r="J126" s="19"/>
      <c r="K126" s="19"/>
      <c r="L126" s="19"/>
      <c r="M126" s="19"/>
      <c r="N126" s="19"/>
      <c r="O126" s="19"/>
      <c r="P126" s="19"/>
      <c r="Q126" s="19"/>
      <c r="R126" s="19"/>
      <c r="S126" s="19"/>
      <c r="T126" s="19"/>
      <c r="U126" s="19"/>
      <c r="V126" s="19"/>
      <c r="W126" s="19"/>
      <c r="X126" s="19"/>
      <c r="Y126" s="19"/>
      <c r="Z126" s="19"/>
    </row>
    <row r="127" spans="1:26" ht="12.75" customHeight="1" x14ac:dyDescent="0.2">
      <c r="A127" s="19"/>
      <c r="B127" s="261" t="s">
        <v>383</v>
      </c>
      <c r="C127" s="214">
        <f t="shared" ref="C127:C129" si="22">C115</f>
        <v>556.60082598899999</v>
      </c>
      <c r="D127" s="236">
        <v>6.0138183599339984E-4</v>
      </c>
      <c r="E127" s="237">
        <f t="shared" si="19"/>
        <v>0.33472962664870765</v>
      </c>
      <c r="F127" s="266">
        <f t="shared" si="20"/>
        <v>273</v>
      </c>
      <c r="G127" s="269">
        <f t="shared" si="21"/>
        <v>9.1381188075097188E-5</v>
      </c>
      <c r="H127" s="270"/>
      <c r="I127" s="19"/>
      <c r="J127" s="19"/>
      <c r="K127" s="19"/>
      <c r="L127" s="19"/>
      <c r="M127" s="19"/>
      <c r="N127" s="19"/>
      <c r="O127" s="19"/>
      <c r="P127" s="19"/>
      <c r="Q127" s="19"/>
      <c r="R127" s="19"/>
      <c r="S127" s="19"/>
      <c r="T127" s="19"/>
      <c r="U127" s="19"/>
      <c r="V127" s="19"/>
      <c r="W127" s="19"/>
      <c r="X127" s="19"/>
      <c r="Y127" s="19"/>
      <c r="Z127" s="19"/>
    </row>
    <row r="128" spans="1:26" ht="12.75" customHeight="1" x14ac:dyDescent="0.2">
      <c r="A128" s="19"/>
      <c r="B128" s="261" t="s">
        <v>392</v>
      </c>
      <c r="C128" s="214">
        <f t="shared" si="22"/>
        <v>42.122053457999996</v>
      </c>
      <c r="D128" s="236">
        <v>6.0138183599339984E-4</v>
      </c>
      <c r="E128" s="237">
        <f t="shared" si="19"/>
        <v>2.5331437844384175E-2</v>
      </c>
      <c r="F128" s="266">
        <f t="shared" si="20"/>
        <v>273</v>
      </c>
      <c r="G128" s="269">
        <f t="shared" si="21"/>
        <v>6.9154825315168802E-6</v>
      </c>
      <c r="H128" s="270"/>
      <c r="I128" s="19"/>
      <c r="J128" s="19"/>
      <c r="K128" s="19"/>
      <c r="L128" s="19"/>
      <c r="M128" s="19"/>
      <c r="N128" s="19"/>
      <c r="O128" s="19"/>
      <c r="P128" s="19"/>
      <c r="Q128" s="19"/>
      <c r="R128" s="19"/>
      <c r="S128" s="19"/>
      <c r="T128" s="19"/>
      <c r="U128" s="19"/>
      <c r="V128" s="19"/>
      <c r="W128" s="19"/>
      <c r="X128" s="19"/>
      <c r="Y128" s="19"/>
      <c r="Z128" s="19"/>
    </row>
    <row r="129" spans="1:26" ht="12.75" customHeight="1" x14ac:dyDescent="0.2">
      <c r="A129" s="19"/>
      <c r="B129" s="261" t="s">
        <v>63</v>
      </c>
      <c r="C129" s="214">
        <f t="shared" si="22"/>
        <v>172.26</v>
      </c>
      <c r="D129" s="236">
        <v>9.4955026735800017E-5</v>
      </c>
      <c r="E129" s="237">
        <f t="shared" si="19"/>
        <v>1.6356952905508908E-2</v>
      </c>
      <c r="F129" s="266">
        <f t="shared" si="20"/>
        <v>273</v>
      </c>
      <c r="G129" s="269">
        <f t="shared" si="21"/>
        <v>4.465448143203932E-6</v>
      </c>
      <c r="H129" s="270"/>
      <c r="I129" s="19"/>
      <c r="J129" s="19"/>
      <c r="K129" s="19"/>
      <c r="L129" s="19"/>
      <c r="M129" s="19"/>
      <c r="N129" s="19"/>
      <c r="O129" s="19"/>
      <c r="P129" s="19"/>
      <c r="Q129" s="19"/>
      <c r="R129" s="19"/>
      <c r="S129" s="19"/>
      <c r="T129" s="19"/>
      <c r="U129" s="19"/>
      <c r="V129" s="19"/>
      <c r="W129" s="19"/>
      <c r="X129" s="19"/>
      <c r="Y129" s="19"/>
      <c r="Z129" s="19"/>
    </row>
    <row r="130" spans="1:26" ht="13.5" customHeight="1" x14ac:dyDescent="0.2">
      <c r="A130" s="19"/>
      <c r="B130" s="1785" t="s">
        <v>481</v>
      </c>
      <c r="C130" s="1786"/>
      <c r="D130" s="1786"/>
      <c r="E130" s="1786"/>
      <c r="F130" s="1787"/>
      <c r="G130" s="274">
        <f>SUM(G126:G129)</f>
        <v>1.0276211874981801E-4</v>
      </c>
      <c r="H130" s="205"/>
      <c r="I130" s="19"/>
      <c r="J130" s="19"/>
      <c r="K130" s="19"/>
      <c r="L130" s="19"/>
      <c r="M130" s="19"/>
      <c r="N130" s="19"/>
      <c r="O130" s="19"/>
      <c r="P130" s="19"/>
      <c r="Q130" s="19"/>
      <c r="R130" s="19"/>
      <c r="S130" s="19"/>
      <c r="T130" s="19"/>
      <c r="U130" s="19"/>
      <c r="V130" s="19"/>
      <c r="W130" s="19"/>
      <c r="X130" s="19"/>
      <c r="Y130" s="19"/>
      <c r="Z130" s="19"/>
    </row>
    <row r="131" spans="1:26" ht="13.5" customHeight="1" x14ac:dyDescent="0.2">
      <c r="A131" s="19"/>
      <c r="B131" s="19"/>
      <c r="C131" s="205"/>
      <c r="D131" s="205"/>
      <c r="E131" s="205"/>
      <c r="F131" s="252"/>
      <c r="G131" s="275"/>
      <c r="H131" s="205"/>
      <c r="I131" s="19"/>
      <c r="J131" s="19"/>
      <c r="K131" s="19"/>
      <c r="L131" s="19"/>
      <c r="M131" s="19"/>
      <c r="N131" s="19"/>
      <c r="O131" s="19"/>
      <c r="P131" s="19"/>
      <c r="Q131" s="19"/>
      <c r="R131" s="19"/>
      <c r="S131" s="19"/>
      <c r="T131" s="19"/>
      <c r="U131" s="19"/>
      <c r="V131" s="19"/>
      <c r="W131" s="19"/>
      <c r="X131" s="19"/>
      <c r="Y131" s="19"/>
      <c r="Z131" s="19"/>
    </row>
    <row r="132" spans="1:26" ht="12.75" customHeight="1" x14ac:dyDescent="0.2">
      <c r="A132" s="19"/>
      <c r="B132" s="19"/>
      <c r="C132" s="19"/>
      <c r="D132" s="19"/>
      <c r="E132" s="205"/>
      <c r="F132" s="252"/>
      <c r="G132" s="275"/>
      <c r="H132" s="205"/>
      <c r="I132" s="19"/>
      <c r="J132" s="19"/>
      <c r="K132" s="19"/>
      <c r="L132" s="19"/>
      <c r="M132" s="19"/>
      <c r="N132" s="19"/>
      <c r="O132" s="19"/>
      <c r="P132" s="19"/>
      <c r="Q132" s="19"/>
      <c r="R132" s="19"/>
      <c r="S132" s="19"/>
      <c r="T132" s="19"/>
      <c r="U132" s="19"/>
      <c r="V132" s="19"/>
      <c r="W132" s="19"/>
      <c r="X132" s="19"/>
      <c r="Y132" s="19"/>
      <c r="Z132" s="19"/>
    </row>
    <row r="133" spans="1:26" ht="18.75" customHeight="1" x14ac:dyDescent="0.3">
      <c r="A133" s="19"/>
      <c r="B133" s="203" t="s">
        <v>345</v>
      </c>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8.75" customHeight="1" x14ac:dyDescent="0.3">
      <c r="A134" s="19"/>
      <c r="B134" s="1772" t="s">
        <v>488</v>
      </c>
      <c r="C134" s="1766"/>
      <c r="D134" s="1766"/>
      <c r="E134" s="203">
        <v>2006</v>
      </c>
      <c r="F134" s="205"/>
      <c r="G134" s="205"/>
      <c r="H134" s="19"/>
      <c r="I134" s="19"/>
      <c r="J134" s="19"/>
      <c r="K134" s="19"/>
      <c r="L134" s="19"/>
      <c r="M134" s="19"/>
      <c r="N134" s="19"/>
      <c r="O134" s="19"/>
      <c r="P134" s="19"/>
      <c r="Q134" s="19"/>
      <c r="R134" s="19"/>
      <c r="S134" s="19"/>
      <c r="T134" s="19"/>
      <c r="U134" s="19"/>
      <c r="V134" s="19"/>
      <c r="W134" s="19"/>
      <c r="X134" s="19"/>
      <c r="Y134" s="19"/>
      <c r="Z134" s="19"/>
    </row>
    <row r="135" spans="1:26" ht="13.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3.5" customHeight="1" x14ac:dyDescent="0.2">
      <c r="A136" s="19"/>
      <c r="B136" s="1773" t="s">
        <v>20</v>
      </c>
      <c r="C136" s="276"/>
      <c r="D136" s="256" t="s">
        <v>356</v>
      </c>
      <c r="E136" s="256" t="s">
        <v>356</v>
      </c>
      <c r="F136" s="256" t="s">
        <v>356</v>
      </c>
      <c r="G136" s="257" t="s">
        <v>356</v>
      </c>
      <c r="H136" s="19"/>
      <c r="I136" s="19"/>
      <c r="J136" s="19"/>
      <c r="K136" s="19"/>
      <c r="L136" s="19"/>
      <c r="M136" s="19"/>
      <c r="N136" s="19"/>
      <c r="O136" s="19"/>
      <c r="P136" s="19"/>
      <c r="Q136" s="19"/>
      <c r="R136" s="19"/>
      <c r="S136" s="19"/>
      <c r="T136" s="19"/>
      <c r="U136" s="19"/>
      <c r="V136" s="19"/>
      <c r="W136" s="19"/>
      <c r="X136" s="19"/>
      <c r="Y136" s="19"/>
      <c r="Z136" s="19"/>
    </row>
    <row r="137" spans="1:26" ht="14.25" customHeight="1" x14ac:dyDescent="0.25">
      <c r="A137" s="19"/>
      <c r="B137" s="1774"/>
      <c r="C137" s="277" t="s">
        <v>351</v>
      </c>
      <c r="D137" s="278" t="s">
        <v>493</v>
      </c>
      <c r="E137" s="278" t="s">
        <v>494</v>
      </c>
      <c r="F137" s="278" t="s">
        <v>495</v>
      </c>
      <c r="G137" s="279" t="s">
        <v>95</v>
      </c>
      <c r="H137" s="19"/>
      <c r="I137" s="19"/>
      <c r="J137" s="19"/>
      <c r="K137" s="19"/>
      <c r="L137" s="19"/>
      <c r="M137" s="19"/>
      <c r="N137" s="19"/>
      <c r="O137" s="19"/>
      <c r="P137" s="19"/>
      <c r="Q137" s="19"/>
      <c r="R137" s="19"/>
      <c r="S137" s="19"/>
      <c r="T137" s="19"/>
      <c r="U137" s="19"/>
      <c r="V137" s="19"/>
      <c r="W137" s="19"/>
      <c r="X137" s="19"/>
      <c r="Y137" s="19"/>
      <c r="Z137" s="19"/>
    </row>
    <row r="138" spans="1:26" ht="15" customHeight="1" x14ac:dyDescent="0.25">
      <c r="A138" s="19"/>
      <c r="B138" s="1775"/>
      <c r="C138" s="280" t="s">
        <v>362</v>
      </c>
      <c r="D138" s="281" t="s">
        <v>498</v>
      </c>
      <c r="E138" s="281" t="s">
        <v>499</v>
      </c>
      <c r="F138" s="281" t="s">
        <v>500</v>
      </c>
      <c r="G138" s="282" t="s">
        <v>501</v>
      </c>
      <c r="H138" s="19"/>
      <c r="I138" s="19"/>
      <c r="J138" s="19"/>
      <c r="K138" s="19"/>
      <c r="L138" s="19"/>
      <c r="M138" s="19"/>
      <c r="N138" s="19"/>
      <c r="O138" s="19"/>
      <c r="P138" s="19"/>
      <c r="Q138" s="19"/>
      <c r="R138" s="19"/>
      <c r="S138" s="19"/>
      <c r="T138" s="19"/>
      <c r="U138" s="19"/>
      <c r="V138" s="19"/>
      <c r="W138" s="19"/>
      <c r="X138" s="19"/>
      <c r="Y138" s="19"/>
      <c r="Z138" s="19"/>
    </row>
    <row r="139" spans="1:26" ht="13.5" customHeight="1" x14ac:dyDescent="0.2">
      <c r="A139" s="19"/>
      <c r="B139" s="261" t="s">
        <v>40</v>
      </c>
      <c r="C139" s="283">
        <v>0</v>
      </c>
      <c r="D139" s="284">
        <v>0</v>
      </c>
      <c r="E139" s="285">
        <f t="shared" ref="E139:E142" si="23">G126</f>
        <v>0</v>
      </c>
      <c r="F139" s="285">
        <f t="shared" ref="F139:F142" si="24">G114</f>
        <v>0</v>
      </c>
      <c r="G139" s="287">
        <f t="shared" ref="G139:G142" si="25">D139+E139+F139</f>
        <v>0</v>
      </c>
      <c r="H139" s="19"/>
      <c r="I139" s="19"/>
      <c r="J139" s="19"/>
      <c r="K139" s="19"/>
      <c r="L139" s="19"/>
      <c r="M139" s="19"/>
      <c r="N139" s="19"/>
      <c r="O139" s="19"/>
      <c r="P139" s="19"/>
      <c r="Q139" s="19"/>
      <c r="R139" s="19"/>
      <c r="S139" s="19"/>
      <c r="T139" s="19"/>
      <c r="U139" s="19"/>
      <c r="V139" s="19"/>
      <c r="W139" s="19"/>
      <c r="X139" s="19"/>
      <c r="Y139" s="19"/>
      <c r="Z139" s="19"/>
    </row>
    <row r="140" spans="1:26" ht="13.5" customHeight="1" x14ac:dyDescent="0.2">
      <c r="A140" s="19"/>
      <c r="B140" s="261" t="s">
        <v>383</v>
      </c>
      <c r="C140" s="283">
        <f t="shared" ref="C140:C142" si="26">C127</f>
        <v>556.60082598899999</v>
      </c>
      <c r="D140" s="284">
        <f t="shared" ref="D140:D142" si="27">I103</f>
        <v>4.0679477865658259E-2</v>
      </c>
      <c r="E140" s="285">
        <f t="shared" si="23"/>
        <v>9.1381188075097188E-5</v>
      </c>
      <c r="F140" s="285">
        <f t="shared" si="24"/>
        <v>4.6694782917494734E-5</v>
      </c>
      <c r="G140" s="287">
        <f t="shared" si="25"/>
        <v>4.0817553836650852E-2</v>
      </c>
      <c r="H140" s="19"/>
      <c r="I140" s="19"/>
      <c r="J140" s="19"/>
      <c r="K140" s="19"/>
      <c r="L140" s="19"/>
      <c r="M140" s="19"/>
      <c r="N140" s="19"/>
      <c r="O140" s="19"/>
      <c r="P140" s="19"/>
      <c r="Q140" s="19"/>
      <c r="R140" s="19"/>
      <c r="S140" s="19"/>
      <c r="T140" s="19"/>
      <c r="U140" s="19"/>
      <c r="V140" s="19"/>
      <c r="W140" s="19"/>
      <c r="X140" s="19"/>
      <c r="Y140" s="19"/>
      <c r="Z140" s="19"/>
    </row>
    <row r="141" spans="1:26" ht="13.5" customHeight="1" x14ac:dyDescent="0.2">
      <c r="A141" s="19"/>
      <c r="B141" s="261" t="s">
        <v>392</v>
      </c>
      <c r="C141" s="283">
        <f t="shared" si="26"/>
        <v>42.122053457999996</v>
      </c>
      <c r="D141" s="284">
        <f t="shared" si="27"/>
        <v>3.3161531083718424E-3</v>
      </c>
      <c r="E141" s="285">
        <f t="shared" si="23"/>
        <v>6.9154825315168802E-6</v>
      </c>
      <c r="F141" s="285">
        <f t="shared" si="24"/>
        <v>3.5337355792915929E-6</v>
      </c>
      <c r="G141" s="287">
        <f t="shared" si="25"/>
        <v>3.3266023264826509E-3</v>
      </c>
      <c r="H141" s="19"/>
      <c r="I141" s="19"/>
      <c r="J141" s="19"/>
      <c r="K141" s="19"/>
      <c r="L141" s="19"/>
      <c r="M141" s="19"/>
      <c r="N141" s="19"/>
      <c r="O141" s="19"/>
      <c r="P141" s="19"/>
      <c r="Q141" s="19"/>
      <c r="R141" s="19"/>
      <c r="S141" s="19"/>
      <c r="T141" s="19"/>
      <c r="U141" s="19"/>
      <c r="V141" s="19"/>
      <c r="W141" s="19"/>
      <c r="X141" s="19"/>
      <c r="Y141" s="19"/>
      <c r="Z141" s="19"/>
    </row>
    <row r="142" spans="1:26" ht="13.5" customHeight="1" x14ac:dyDescent="0.2">
      <c r="A142" s="19"/>
      <c r="B142" s="261" t="s">
        <v>63</v>
      </c>
      <c r="C142" s="283">
        <f t="shared" si="26"/>
        <v>172.26</v>
      </c>
      <c r="D142" s="284">
        <f t="shared" si="27"/>
        <v>9.1314889406167409E-3</v>
      </c>
      <c r="E142" s="285">
        <f t="shared" si="23"/>
        <v>4.465448143203932E-6</v>
      </c>
      <c r="F142" s="285">
        <f t="shared" si="24"/>
        <v>4.5635898606369847E-6</v>
      </c>
      <c r="G142" s="287">
        <f t="shared" si="25"/>
        <v>9.1405179786205812E-3</v>
      </c>
      <c r="H142" s="19"/>
      <c r="I142" s="19"/>
      <c r="J142" s="19"/>
      <c r="K142" s="19"/>
      <c r="L142" s="19"/>
      <c r="M142" s="19"/>
      <c r="N142" s="19"/>
      <c r="O142" s="19"/>
      <c r="P142" s="19"/>
      <c r="Q142" s="19"/>
      <c r="R142" s="19"/>
      <c r="S142" s="19"/>
      <c r="T142" s="19"/>
      <c r="U142" s="19"/>
      <c r="V142" s="19"/>
      <c r="W142" s="19"/>
      <c r="X142" s="19"/>
      <c r="Y142" s="19"/>
      <c r="Z142" s="19"/>
    </row>
    <row r="143" spans="1:26" ht="13.5" customHeight="1" x14ac:dyDescent="0.2">
      <c r="A143" s="19"/>
      <c r="B143" s="301" t="s">
        <v>95</v>
      </c>
      <c r="C143" s="303"/>
      <c r="D143" s="307">
        <f t="shared" ref="D143:F143" si="28">SUM(D139:D142)</f>
        <v>5.3127119914646845E-2</v>
      </c>
      <c r="E143" s="308">
        <f t="shared" si="28"/>
        <v>1.0276211874981801E-4</v>
      </c>
      <c r="F143" s="309">
        <f t="shared" si="28"/>
        <v>5.4792108357423308E-5</v>
      </c>
      <c r="G143" s="311">
        <f>SUM(D143:F143)</f>
        <v>5.3284674141754085E-2</v>
      </c>
      <c r="H143" s="19"/>
      <c r="I143" s="19"/>
      <c r="J143" s="19"/>
      <c r="K143" s="19"/>
      <c r="L143" s="19"/>
      <c r="M143" s="19"/>
      <c r="N143" s="19"/>
      <c r="O143" s="19"/>
      <c r="P143" s="19"/>
      <c r="Q143" s="19"/>
      <c r="R143" s="19"/>
      <c r="S143" s="19"/>
      <c r="T143" s="19"/>
      <c r="U143" s="19"/>
      <c r="V143" s="19"/>
      <c r="W143" s="19"/>
      <c r="X143" s="19"/>
      <c r="Y143" s="19"/>
      <c r="Z143" s="19"/>
    </row>
    <row r="144" spans="1:26" ht="13.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2:10" ht="12.75" customHeight="1" x14ac:dyDescent="0.2">
      <c r="B145" s="25"/>
      <c r="C145" s="25"/>
      <c r="D145" s="25"/>
      <c r="E145" s="25"/>
      <c r="F145" s="25"/>
      <c r="G145" s="25"/>
      <c r="H145" s="25"/>
      <c r="I145" s="25"/>
      <c r="J145" s="25"/>
    </row>
    <row r="146" spans="2:10" ht="12.75" customHeight="1" x14ac:dyDescent="0.2">
      <c r="B146" s="25"/>
      <c r="C146" s="25"/>
      <c r="D146" s="25"/>
      <c r="E146" s="25"/>
      <c r="F146" s="25"/>
      <c r="G146" s="25"/>
      <c r="H146" s="25"/>
      <c r="I146" s="25"/>
      <c r="J146" s="25"/>
    </row>
    <row r="147" spans="2:10" ht="12.75" customHeight="1" x14ac:dyDescent="0.2">
      <c r="B147" s="25"/>
      <c r="C147" s="25"/>
      <c r="D147" s="25"/>
      <c r="E147" s="25"/>
      <c r="F147" s="25"/>
      <c r="G147" s="25"/>
      <c r="H147" s="25"/>
      <c r="I147" s="25"/>
      <c r="J147" s="25"/>
    </row>
    <row r="148" spans="2:10" ht="12.75" customHeight="1" x14ac:dyDescent="0.2">
      <c r="B148" s="25"/>
      <c r="C148" s="25"/>
      <c r="D148" s="25"/>
      <c r="E148" s="25"/>
      <c r="F148" s="25"/>
      <c r="G148" s="25"/>
      <c r="H148" s="25"/>
      <c r="I148" s="25"/>
      <c r="J148" s="25"/>
    </row>
    <row r="149" spans="2:10" ht="12.75" customHeight="1" x14ac:dyDescent="0.2">
      <c r="B149" s="25"/>
      <c r="C149" s="25"/>
      <c r="D149" s="25"/>
      <c r="E149" s="25"/>
      <c r="F149" s="25"/>
      <c r="G149" s="25"/>
      <c r="H149" s="25"/>
      <c r="I149" s="25"/>
      <c r="J149" s="25"/>
    </row>
    <row r="150" spans="2:10" ht="12.75" customHeight="1" x14ac:dyDescent="0.2">
      <c r="B150" s="25"/>
      <c r="C150" s="25"/>
      <c r="D150" s="25"/>
      <c r="E150" s="25"/>
      <c r="F150" s="25"/>
      <c r="G150" s="25"/>
      <c r="H150" s="25"/>
      <c r="I150" s="25"/>
      <c r="J150" s="25"/>
    </row>
    <row r="151" spans="2:10" ht="11.25" customHeight="1" x14ac:dyDescent="0.2"/>
    <row r="152" spans="2:10" ht="11.25" customHeight="1" x14ac:dyDescent="0.2"/>
    <row r="153" spans="2:10" ht="11.25" customHeight="1" x14ac:dyDescent="0.2"/>
    <row r="154" spans="2:10" ht="11.25" customHeight="1" x14ac:dyDescent="0.2"/>
    <row r="155" spans="2:10" ht="11.25" customHeight="1" x14ac:dyDescent="0.2"/>
    <row r="156" spans="2:10" ht="11.25" customHeight="1" x14ac:dyDescent="0.2"/>
    <row r="157" spans="2:10" ht="11.25" customHeight="1" x14ac:dyDescent="0.2"/>
    <row r="158" spans="2:10" ht="11.25" customHeight="1" x14ac:dyDescent="0.2"/>
    <row r="159" spans="2:10" ht="11.25" customHeight="1" x14ac:dyDescent="0.2"/>
    <row r="160" spans="2:1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3">
    <mergeCell ref="I112:J112"/>
    <mergeCell ref="B134:D134"/>
    <mergeCell ref="B136:B138"/>
    <mergeCell ref="B62:C62"/>
    <mergeCell ref="F66:H66"/>
    <mergeCell ref="F77:H77"/>
    <mergeCell ref="F91:H91"/>
    <mergeCell ref="B98:D98"/>
    <mergeCell ref="B106:F106"/>
    <mergeCell ref="B110:D110"/>
    <mergeCell ref="B118:E118"/>
    <mergeCell ref="B122:D122"/>
    <mergeCell ref="B124:B125"/>
    <mergeCell ref="B130:F130"/>
    <mergeCell ref="B70:C70"/>
    <mergeCell ref="B80:C80"/>
    <mergeCell ref="B48:C48"/>
    <mergeCell ref="B56:C56"/>
    <mergeCell ref="B6:C6"/>
    <mergeCell ref="B12:C12"/>
    <mergeCell ref="B19:C19"/>
    <mergeCell ref="B26:C26"/>
    <mergeCell ref="B38:C38"/>
  </mergeCells>
  <pageMargins left="0.7" right="0.7" top="0.75" bottom="0.75" header="0" footer="0"/>
  <pageSetup orientation="landscape"/>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6.83203125" defaultRowHeight="15" customHeight="1" x14ac:dyDescent="0.2"/>
  <cols>
    <col min="1" max="1" width="3" customWidth="1"/>
    <col min="2" max="2" width="64.5" customWidth="1"/>
    <col min="3" max="3" width="16.1640625" customWidth="1"/>
    <col min="4" max="4" width="14.6640625" customWidth="1"/>
    <col min="5" max="5" width="13" customWidth="1"/>
    <col min="6" max="6" width="13.5" customWidth="1"/>
    <col min="7" max="7" width="15.1640625" customWidth="1"/>
    <col min="8" max="8" width="13.1640625" customWidth="1"/>
    <col min="9" max="9" width="15.5" customWidth="1"/>
    <col min="10" max="10" width="14.6640625" customWidth="1"/>
    <col min="11" max="11" width="15.1640625" customWidth="1"/>
    <col min="12" max="12" width="15.83203125" customWidth="1"/>
    <col min="13" max="13" width="12.5" customWidth="1"/>
    <col min="14" max="14" width="12.6640625" customWidth="1"/>
    <col min="15" max="15" width="13.1640625" customWidth="1"/>
    <col min="16" max="16" width="14" customWidth="1"/>
    <col min="17" max="17" width="13.1640625" customWidth="1"/>
    <col min="18" max="18" width="18.5" customWidth="1"/>
    <col min="19" max="19" width="14.6640625" customWidth="1"/>
    <col min="20" max="20" width="14" customWidth="1"/>
    <col min="21" max="26" width="8" customWidth="1"/>
  </cols>
  <sheetData>
    <row r="1" spans="1:26" ht="33" customHeight="1" x14ac:dyDescent="0.45">
      <c r="A1" s="11" t="s">
        <v>11</v>
      </c>
      <c r="B1" s="13"/>
      <c r="C1" s="2"/>
      <c r="D1" s="2"/>
      <c r="E1" s="2"/>
      <c r="F1" s="2"/>
      <c r="G1" s="16"/>
      <c r="H1" s="2"/>
      <c r="I1" s="2"/>
      <c r="J1" s="2"/>
      <c r="K1" s="2"/>
      <c r="L1" s="2"/>
      <c r="M1" s="2"/>
      <c r="N1" s="2"/>
      <c r="O1" s="2"/>
      <c r="P1" s="2"/>
      <c r="Q1" s="2"/>
      <c r="R1" s="2"/>
      <c r="S1" s="2"/>
      <c r="T1" s="2"/>
      <c r="U1" s="2"/>
      <c r="V1" s="2"/>
      <c r="W1" s="2"/>
      <c r="X1" s="2"/>
      <c r="Y1" s="2"/>
      <c r="Z1" s="2"/>
    </row>
    <row r="2" spans="1:26" ht="78.75" customHeight="1" x14ac:dyDescent="0.2">
      <c r="A2" s="20"/>
      <c r="B2" s="22"/>
      <c r="C2" s="22"/>
      <c r="D2" s="22"/>
      <c r="E2" s="22"/>
      <c r="F2" s="22"/>
      <c r="G2" s="22"/>
      <c r="H2" s="22"/>
      <c r="I2" s="22"/>
      <c r="J2" s="22"/>
      <c r="K2" s="22"/>
      <c r="L2" s="22"/>
      <c r="M2" s="22"/>
      <c r="N2" s="22"/>
      <c r="O2" s="22"/>
      <c r="P2" s="22"/>
      <c r="Q2" s="25"/>
      <c r="R2" s="25"/>
      <c r="S2" s="25"/>
      <c r="T2" s="25"/>
      <c r="U2" s="25"/>
      <c r="V2" s="25"/>
      <c r="W2" s="25"/>
      <c r="X2" s="25"/>
      <c r="Y2" s="25"/>
      <c r="Z2" s="25"/>
    </row>
    <row r="3" spans="1:26" ht="12.75" customHeight="1" x14ac:dyDescent="0.3">
      <c r="E3" s="30" t="s">
        <v>26</v>
      </c>
      <c r="F3" s="33"/>
      <c r="G3" s="33"/>
      <c r="H3" s="33"/>
    </row>
    <row r="4" spans="1:26" ht="13.5" customHeight="1" x14ac:dyDescent="0.3">
      <c r="E4" s="35"/>
    </row>
    <row r="5" spans="1:26" ht="12.75" customHeight="1" x14ac:dyDescent="0.3">
      <c r="B5" s="41"/>
      <c r="C5" s="43">
        <v>1991</v>
      </c>
      <c r="D5" s="43">
        <v>1992</v>
      </c>
      <c r="E5" s="43">
        <v>1993</v>
      </c>
      <c r="F5" s="43">
        <v>1994</v>
      </c>
      <c r="G5" s="43">
        <v>1995</v>
      </c>
      <c r="H5" s="43">
        <v>1996</v>
      </c>
      <c r="I5" s="43">
        <v>1997</v>
      </c>
      <c r="J5" s="43">
        <v>1998</v>
      </c>
      <c r="K5" s="48">
        <v>1999</v>
      </c>
      <c r="L5" s="51">
        <v>2000</v>
      </c>
      <c r="M5" s="51">
        <v>2001</v>
      </c>
      <c r="N5" s="51">
        <v>2002</v>
      </c>
      <c r="O5" s="51">
        <v>2003</v>
      </c>
      <c r="P5" s="51">
        <v>2004</v>
      </c>
      <c r="Q5" s="51">
        <v>2005</v>
      </c>
      <c r="R5" s="51">
        <v>2006</v>
      </c>
      <c r="S5" s="51">
        <v>2007</v>
      </c>
      <c r="T5" s="54">
        <v>2008</v>
      </c>
    </row>
    <row r="6" spans="1:26" ht="11.25" customHeight="1" x14ac:dyDescent="0.2">
      <c r="B6" s="56"/>
      <c r="C6" s="58"/>
      <c r="D6" s="58"/>
      <c r="E6" s="58"/>
      <c r="F6" s="58"/>
      <c r="G6" s="58"/>
      <c r="H6" s="58"/>
      <c r="I6" s="58"/>
      <c r="J6" s="58"/>
      <c r="K6" s="63"/>
      <c r="L6" s="64"/>
      <c r="M6" s="64"/>
      <c r="N6" s="64"/>
      <c r="O6" s="64"/>
      <c r="P6" s="64"/>
      <c r="Q6" s="64"/>
      <c r="R6" s="64"/>
      <c r="S6" s="64"/>
      <c r="T6" s="66"/>
    </row>
    <row r="7" spans="1:26" ht="12.75" customHeight="1" x14ac:dyDescent="0.2">
      <c r="B7" s="69" t="s">
        <v>46</v>
      </c>
      <c r="C7" s="70"/>
      <c r="D7" s="73"/>
      <c r="E7" s="73"/>
      <c r="F7" s="73"/>
      <c r="G7" s="73"/>
      <c r="H7" s="73"/>
      <c r="I7" s="73"/>
      <c r="J7" s="73"/>
      <c r="K7" s="75"/>
      <c r="L7" s="76">
        <v>11420038</v>
      </c>
      <c r="M7" s="78">
        <v>11135140</v>
      </c>
      <c r="N7" s="78">
        <v>11364983</v>
      </c>
      <c r="O7" s="78">
        <v>11852129</v>
      </c>
      <c r="P7" s="78">
        <v>11608446</v>
      </c>
      <c r="Q7" s="78">
        <v>11745248.199999999</v>
      </c>
      <c r="R7" s="78">
        <v>11687602.6</v>
      </c>
      <c r="S7" s="78">
        <v>11937518</v>
      </c>
      <c r="T7" s="80">
        <v>11098391</v>
      </c>
    </row>
    <row r="8" spans="1:26" ht="12.75" customHeight="1" x14ac:dyDescent="0.2">
      <c r="B8" s="69" t="s">
        <v>52</v>
      </c>
      <c r="C8" s="70"/>
      <c r="D8" s="73"/>
      <c r="E8" s="73"/>
      <c r="F8" s="73"/>
      <c r="G8" s="73"/>
      <c r="H8" s="73"/>
      <c r="I8" s="73"/>
      <c r="J8" s="73"/>
      <c r="K8" s="75"/>
      <c r="L8" s="76">
        <v>4143417</v>
      </c>
      <c r="M8" s="78">
        <v>5514960</v>
      </c>
      <c r="N8" s="78">
        <v>4108104</v>
      </c>
      <c r="O8" s="78">
        <v>6164252</v>
      </c>
      <c r="P8" s="78">
        <v>5672819.25</v>
      </c>
      <c r="Q8" s="78">
        <v>6574936.7400000002</v>
      </c>
      <c r="R8" s="78">
        <v>1050222.03</v>
      </c>
      <c r="S8" s="78">
        <v>1790746</v>
      </c>
      <c r="T8" s="80">
        <v>791418</v>
      </c>
    </row>
    <row r="9" spans="1:26" ht="12.75" customHeight="1" x14ac:dyDescent="0.2">
      <c r="B9" s="69" t="s">
        <v>54</v>
      </c>
      <c r="C9" s="70"/>
      <c r="D9" s="73"/>
      <c r="E9" s="73"/>
      <c r="F9" s="73"/>
      <c r="G9" s="73"/>
      <c r="H9" s="73"/>
      <c r="I9" s="73"/>
      <c r="J9" s="73"/>
      <c r="K9" s="75"/>
      <c r="L9" s="76">
        <v>29023288</v>
      </c>
      <c r="M9" s="78">
        <v>17985486</v>
      </c>
      <c r="N9" s="78">
        <v>22627073</v>
      </c>
      <c r="O9" s="78">
        <v>11162538</v>
      </c>
      <c r="P9" s="78">
        <v>9994238.0399999991</v>
      </c>
      <c r="Q9" s="78">
        <v>18619350</v>
      </c>
      <c r="R9" s="78">
        <v>16620796.5</v>
      </c>
      <c r="S9" s="78">
        <v>21481869</v>
      </c>
      <c r="T9" s="80">
        <v>17563616</v>
      </c>
    </row>
    <row r="10" spans="1:26" ht="13.5" customHeight="1" x14ac:dyDescent="0.2">
      <c r="B10" s="85" t="s">
        <v>57</v>
      </c>
      <c r="C10" s="87"/>
      <c r="D10" s="89"/>
      <c r="E10" s="89"/>
      <c r="F10" s="89"/>
      <c r="G10" s="89"/>
      <c r="H10" s="89"/>
      <c r="I10" s="89"/>
      <c r="J10" s="89"/>
      <c r="K10" s="91"/>
      <c r="L10" s="92">
        <v>758</v>
      </c>
      <c r="M10" s="93">
        <v>7537</v>
      </c>
      <c r="N10" s="93">
        <v>9278</v>
      </c>
      <c r="O10" s="93">
        <v>6717</v>
      </c>
      <c r="P10" s="93">
        <v>5127.03</v>
      </c>
      <c r="Q10" s="93">
        <v>4266.24</v>
      </c>
      <c r="R10" s="93">
        <v>4141.3100000000004</v>
      </c>
      <c r="S10" s="93">
        <v>4703.42</v>
      </c>
      <c r="T10" s="94">
        <v>4194.0200000000004</v>
      </c>
    </row>
    <row r="11" spans="1:26" ht="12.75" customHeight="1" x14ac:dyDescent="0.3">
      <c r="E11" s="35"/>
    </row>
    <row r="12" spans="1:26" ht="11.25" customHeight="1" x14ac:dyDescent="0.2"/>
    <row r="13" spans="1:26" ht="11.25" customHeight="1" x14ac:dyDescent="0.2"/>
    <row r="14" spans="1:26" ht="12.75" customHeight="1" x14ac:dyDescent="0.3">
      <c r="C14" s="95" t="s">
        <v>65</v>
      </c>
      <c r="D14" s="96"/>
      <c r="E14" s="96"/>
      <c r="F14" s="96"/>
      <c r="G14" s="96"/>
      <c r="H14" s="96"/>
      <c r="I14" s="96"/>
    </row>
    <row r="15" spans="1:26" ht="13.5" customHeight="1" x14ac:dyDescent="0.3">
      <c r="C15" s="95"/>
      <c r="D15" s="96"/>
      <c r="E15" s="96"/>
      <c r="F15" s="96"/>
      <c r="G15" s="96"/>
      <c r="H15" s="96"/>
      <c r="I15" s="96"/>
    </row>
    <row r="16" spans="1:26" ht="12.75" customHeight="1" x14ac:dyDescent="0.3">
      <c r="B16" s="41"/>
      <c r="C16" s="43">
        <v>1991</v>
      </c>
      <c r="D16" s="43">
        <v>1992</v>
      </c>
      <c r="E16" s="43">
        <v>1993</v>
      </c>
      <c r="F16" s="43">
        <v>1994</v>
      </c>
      <c r="G16" s="43">
        <v>1995</v>
      </c>
      <c r="H16" s="43">
        <v>1996</v>
      </c>
      <c r="I16" s="43">
        <v>1997</v>
      </c>
      <c r="J16" s="43">
        <v>1998</v>
      </c>
      <c r="K16" s="43">
        <v>1999</v>
      </c>
      <c r="L16" s="43">
        <v>2000</v>
      </c>
      <c r="M16" s="43">
        <v>2001</v>
      </c>
      <c r="N16" s="43">
        <v>2002</v>
      </c>
      <c r="O16" s="43">
        <v>2003</v>
      </c>
      <c r="P16" s="43">
        <v>2004</v>
      </c>
      <c r="Q16" s="43">
        <v>2005</v>
      </c>
      <c r="R16" s="43">
        <v>2006</v>
      </c>
      <c r="S16" s="43">
        <v>2007</v>
      </c>
      <c r="T16" s="100">
        <v>2008</v>
      </c>
    </row>
    <row r="17" spans="2:20" ht="12.75" customHeight="1" x14ac:dyDescent="0.2">
      <c r="B17" s="56" t="s">
        <v>40</v>
      </c>
      <c r="C17" s="73">
        <v>22835671</v>
      </c>
      <c r="D17" s="73">
        <v>23850470</v>
      </c>
      <c r="E17" s="73">
        <v>25126979</v>
      </c>
      <c r="F17" s="101">
        <v>25624758</v>
      </c>
      <c r="G17" s="101">
        <v>27595256</v>
      </c>
      <c r="H17" s="101">
        <v>27992005</v>
      </c>
      <c r="I17" s="101">
        <v>27620925</v>
      </c>
      <c r="J17" s="101">
        <v>29294727</v>
      </c>
      <c r="K17" s="101">
        <v>29687655</v>
      </c>
      <c r="L17" s="101">
        <v>29451065</v>
      </c>
      <c r="M17" s="101">
        <v>28379409</v>
      </c>
      <c r="N17" s="101">
        <v>28712053</v>
      </c>
      <c r="O17" s="101">
        <v>29939086</v>
      </c>
      <c r="P17" s="101">
        <v>29195458</v>
      </c>
      <c r="Q17" s="101">
        <v>29302792</v>
      </c>
      <c r="R17" s="101">
        <v>29408022</v>
      </c>
      <c r="S17" s="101">
        <v>29699186</v>
      </c>
      <c r="T17" s="105">
        <v>27218239</v>
      </c>
    </row>
    <row r="18" spans="2:20" ht="12.75" customHeight="1" x14ac:dyDescent="0.2">
      <c r="B18" s="56" t="s">
        <v>74</v>
      </c>
      <c r="C18" s="73">
        <v>4078506</v>
      </c>
      <c r="D18" s="73">
        <v>2749511</v>
      </c>
      <c r="E18" s="73">
        <v>4164790</v>
      </c>
      <c r="F18" s="101">
        <v>4275226</v>
      </c>
      <c r="G18" s="101">
        <v>1479469</v>
      </c>
      <c r="H18" s="101">
        <v>1472027</v>
      </c>
      <c r="I18" s="101">
        <v>1565010</v>
      </c>
      <c r="J18" s="101">
        <v>3454350</v>
      </c>
      <c r="K18" s="101">
        <v>4290788</v>
      </c>
      <c r="L18" s="101">
        <v>2388595</v>
      </c>
      <c r="M18" s="101">
        <v>3021639</v>
      </c>
      <c r="N18" s="101">
        <v>2282432</v>
      </c>
      <c r="O18" s="101">
        <v>3572183</v>
      </c>
      <c r="P18" s="101">
        <v>3296842</v>
      </c>
      <c r="Q18" s="101">
        <v>3805569</v>
      </c>
      <c r="R18" s="101">
        <v>580726</v>
      </c>
      <c r="S18" s="101">
        <v>984831</v>
      </c>
      <c r="T18" s="105">
        <v>405840</v>
      </c>
    </row>
    <row r="19" spans="2:20" ht="12.75" customHeight="1" x14ac:dyDescent="0.2">
      <c r="B19" s="56" t="s">
        <v>63</v>
      </c>
      <c r="C19" s="73">
        <v>1517463</v>
      </c>
      <c r="D19" s="73">
        <v>1077542</v>
      </c>
      <c r="E19" s="73">
        <v>772304</v>
      </c>
      <c r="F19" s="101">
        <v>1172042</v>
      </c>
      <c r="G19" s="101">
        <v>1548884</v>
      </c>
      <c r="H19" s="101">
        <v>987627</v>
      </c>
      <c r="I19" s="101">
        <v>1412585</v>
      </c>
      <c r="J19" s="101">
        <v>1990596</v>
      </c>
      <c r="K19" s="101">
        <v>2125193</v>
      </c>
      <c r="L19" s="101">
        <v>2852876</v>
      </c>
      <c r="M19" s="101">
        <v>1760812</v>
      </c>
      <c r="N19" s="101">
        <v>2214431</v>
      </c>
      <c r="O19" s="101">
        <v>1195642</v>
      </c>
      <c r="P19" s="101">
        <v>1183301</v>
      </c>
      <c r="Q19" s="101">
        <v>1886986</v>
      </c>
      <c r="R19" s="101">
        <v>1770206</v>
      </c>
      <c r="S19" s="101">
        <v>2240927</v>
      </c>
      <c r="T19" s="105">
        <v>1848147</v>
      </c>
    </row>
    <row r="20" spans="2:20" ht="12.75" customHeight="1" x14ac:dyDescent="0.2">
      <c r="B20" s="56" t="s">
        <v>80</v>
      </c>
      <c r="C20" s="73">
        <v>478704</v>
      </c>
      <c r="D20" s="73">
        <v>506572</v>
      </c>
      <c r="E20" s="73">
        <v>475788</v>
      </c>
      <c r="F20" s="101">
        <v>501762</v>
      </c>
      <c r="G20" s="101">
        <v>685721</v>
      </c>
      <c r="H20" s="101">
        <v>539335</v>
      </c>
      <c r="I20" s="101">
        <v>564036</v>
      </c>
      <c r="J20" s="101">
        <v>82316</v>
      </c>
      <c r="K20" s="101">
        <v>59891</v>
      </c>
      <c r="L20" s="101">
        <v>74572</v>
      </c>
      <c r="M20" s="101">
        <v>439980</v>
      </c>
      <c r="N20" s="101">
        <v>504513</v>
      </c>
      <c r="O20" s="101">
        <v>325355</v>
      </c>
      <c r="P20" s="101">
        <v>411565</v>
      </c>
      <c r="Q20" s="101">
        <v>342466</v>
      </c>
      <c r="R20" s="101">
        <v>332444</v>
      </c>
      <c r="S20" s="101">
        <v>377560</v>
      </c>
      <c r="T20" s="105">
        <v>337823</v>
      </c>
    </row>
    <row r="21" spans="2:20" ht="12.75" customHeight="1" x14ac:dyDescent="0.2">
      <c r="B21" s="56" t="s">
        <v>84</v>
      </c>
      <c r="C21" s="73">
        <v>9036100</v>
      </c>
      <c r="D21" s="73">
        <v>10663950</v>
      </c>
      <c r="E21" s="73">
        <v>12300816</v>
      </c>
      <c r="F21" s="101">
        <v>11235408</v>
      </c>
      <c r="G21" s="101">
        <v>12937971</v>
      </c>
      <c r="H21" s="101">
        <v>12092768</v>
      </c>
      <c r="I21" s="101">
        <v>13212967</v>
      </c>
      <c r="J21" s="101">
        <v>13330598</v>
      </c>
      <c r="K21" s="101">
        <v>13312335</v>
      </c>
      <c r="L21" s="101">
        <v>13827243</v>
      </c>
      <c r="M21" s="101">
        <v>13656267</v>
      </c>
      <c r="N21" s="101">
        <v>12128005</v>
      </c>
      <c r="O21" s="101">
        <v>13690713</v>
      </c>
      <c r="P21" s="101">
        <v>14580260</v>
      </c>
      <c r="Q21" s="101">
        <v>14703221</v>
      </c>
      <c r="R21" s="101">
        <v>13830411</v>
      </c>
      <c r="S21" s="101">
        <v>14353192</v>
      </c>
      <c r="T21" s="105">
        <v>14678695</v>
      </c>
    </row>
    <row r="22" spans="2:20" ht="12.75" customHeight="1" x14ac:dyDescent="0.2">
      <c r="B22" s="56" t="s">
        <v>89</v>
      </c>
      <c r="C22" s="73">
        <v>1407287</v>
      </c>
      <c r="D22" s="73">
        <v>1824659</v>
      </c>
      <c r="E22" s="73">
        <v>1658271</v>
      </c>
      <c r="F22" s="101">
        <v>2009536</v>
      </c>
      <c r="G22" s="101">
        <v>1442006</v>
      </c>
      <c r="H22" s="101">
        <v>2457463</v>
      </c>
      <c r="I22" s="101">
        <v>1588375</v>
      </c>
      <c r="J22" s="101">
        <v>1739737</v>
      </c>
      <c r="K22" s="101">
        <v>1424197</v>
      </c>
      <c r="L22" s="101">
        <v>1732619</v>
      </c>
      <c r="M22" s="101">
        <v>1183518</v>
      </c>
      <c r="N22" s="101">
        <v>1660989</v>
      </c>
      <c r="O22" s="101">
        <v>2646984</v>
      </c>
      <c r="P22" s="101">
        <v>2507521</v>
      </c>
      <c r="Q22" s="101">
        <v>1703639</v>
      </c>
      <c r="R22" s="101">
        <v>2104275</v>
      </c>
      <c r="S22" s="101">
        <v>1652216</v>
      </c>
      <c r="T22" s="105">
        <v>1974078</v>
      </c>
    </row>
    <row r="23" spans="2:20" ht="12.75" customHeight="1" x14ac:dyDescent="0.2">
      <c r="B23" s="56" t="s">
        <v>90</v>
      </c>
      <c r="C23" s="73">
        <v>160602</v>
      </c>
      <c r="D23" s="73">
        <v>174801</v>
      </c>
      <c r="E23" s="73">
        <v>175122</v>
      </c>
      <c r="F23" s="101">
        <v>168822</v>
      </c>
      <c r="G23" s="101">
        <v>175144</v>
      </c>
      <c r="H23" s="101">
        <v>167554</v>
      </c>
      <c r="I23" s="101">
        <v>155906</v>
      </c>
      <c r="J23" s="101">
        <v>155647</v>
      </c>
      <c r="K23" s="101">
        <v>171088</v>
      </c>
      <c r="L23" s="101">
        <v>179580</v>
      </c>
      <c r="M23" s="101">
        <v>11939</v>
      </c>
      <c r="N23" s="101">
        <v>182904</v>
      </c>
      <c r="O23" s="101">
        <v>225240</v>
      </c>
      <c r="P23" s="101">
        <v>192384</v>
      </c>
      <c r="Q23" s="101">
        <v>205985</v>
      </c>
      <c r="R23" s="101">
        <v>218066</v>
      </c>
      <c r="S23" s="101">
        <v>203097</v>
      </c>
      <c r="T23" s="105">
        <v>197704</v>
      </c>
    </row>
    <row r="24" spans="2:20" ht="12.75" customHeight="1" x14ac:dyDescent="0.2">
      <c r="B24" s="56" t="s">
        <v>91</v>
      </c>
      <c r="C24" s="73">
        <v>336551</v>
      </c>
      <c r="D24" s="73">
        <v>329854</v>
      </c>
      <c r="E24" s="73">
        <v>303818</v>
      </c>
      <c r="F24" s="101">
        <v>352064</v>
      </c>
      <c r="G24" s="101">
        <v>501192</v>
      </c>
      <c r="H24" s="101">
        <v>565838</v>
      </c>
      <c r="I24" s="101">
        <v>587592</v>
      </c>
      <c r="J24" s="101">
        <v>605046</v>
      </c>
      <c r="K24" s="101">
        <v>614474</v>
      </c>
      <c r="L24" s="101">
        <v>638830</v>
      </c>
      <c r="M24" s="101">
        <v>361076</v>
      </c>
      <c r="N24" s="101">
        <v>338727</v>
      </c>
      <c r="O24" s="101">
        <v>370811</v>
      </c>
      <c r="P24" s="101">
        <v>396824</v>
      </c>
      <c r="Q24" s="101">
        <v>417380</v>
      </c>
      <c r="R24" s="101">
        <v>408095</v>
      </c>
      <c r="S24" s="101">
        <v>400364</v>
      </c>
      <c r="T24" s="105">
        <v>414781</v>
      </c>
    </row>
    <row r="25" spans="2:20" ht="13.5" customHeight="1" x14ac:dyDescent="0.2">
      <c r="B25" s="110" t="s">
        <v>92</v>
      </c>
      <c r="C25" s="111"/>
      <c r="D25" s="111"/>
      <c r="E25" s="111"/>
      <c r="F25" s="111"/>
      <c r="G25" s="111"/>
      <c r="H25" s="111"/>
      <c r="I25" s="111"/>
      <c r="J25" s="111"/>
      <c r="K25" s="111"/>
      <c r="L25" s="111"/>
      <c r="M25" s="113">
        <v>247700</v>
      </c>
      <c r="N25" s="113">
        <v>255034</v>
      </c>
      <c r="O25" s="113">
        <v>278224</v>
      </c>
      <c r="P25" s="113">
        <v>288616</v>
      </c>
      <c r="Q25" s="113">
        <v>293561</v>
      </c>
      <c r="R25" s="113">
        <v>304635</v>
      </c>
      <c r="S25" s="113">
        <v>286550</v>
      </c>
      <c r="T25" s="114">
        <v>285645</v>
      </c>
    </row>
    <row r="26" spans="2:20" ht="13.5" customHeight="1" x14ac:dyDescent="0.2">
      <c r="B26" s="116" t="s">
        <v>95</v>
      </c>
      <c r="C26" s="117">
        <v>39850884</v>
      </c>
      <c r="D26" s="117">
        <v>41177359</v>
      </c>
      <c r="E26" s="117">
        <v>44977888</v>
      </c>
      <c r="F26" s="118">
        <v>45339618</v>
      </c>
      <c r="G26" s="118">
        <v>46365643</v>
      </c>
      <c r="H26" s="118">
        <v>46274617</v>
      </c>
      <c r="I26" s="119">
        <v>46707396</v>
      </c>
      <c r="J26" s="118">
        <v>50653017</v>
      </c>
      <c r="K26" s="118">
        <v>51685621</v>
      </c>
      <c r="L26" s="118">
        <v>51145380</v>
      </c>
      <c r="M26" s="118">
        <v>49062340</v>
      </c>
      <c r="N26" s="118">
        <v>48279088</v>
      </c>
      <c r="O26" s="118">
        <v>52244237</v>
      </c>
      <c r="P26" s="118">
        <v>52052770</v>
      </c>
      <c r="Q26" s="118">
        <v>52661600</v>
      </c>
      <c r="R26" s="118">
        <v>48956880</v>
      </c>
      <c r="S26" s="118">
        <v>50197924</v>
      </c>
      <c r="T26" s="120">
        <v>47360953</v>
      </c>
    </row>
    <row r="27" spans="2:20" ht="11.25" customHeight="1" x14ac:dyDescent="0.2"/>
    <row r="28" spans="2:20" ht="12.75" customHeight="1" x14ac:dyDescent="0.3">
      <c r="C28" s="121" t="s">
        <v>104</v>
      </c>
      <c r="D28" s="122"/>
      <c r="E28" s="122"/>
      <c r="F28" s="122"/>
      <c r="G28" s="122"/>
      <c r="H28" s="122"/>
      <c r="I28" s="122"/>
    </row>
    <row r="29" spans="2:20" ht="13.5" customHeight="1" x14ac:dyDescent="0.3">
      <c r="C29" s="121"/>
      <c r="D29" s="122"/>
      <c r="E29" s="122"/>
      <c r="F29" s="122"/>
      <c r="G29" s="122"/>
      <c r="H29" s="122"/>
      <c r="I29" s="122"/>
    </row>
    <row r="30" spans="2:20" ht="12.75" customHeight="1" x14ac:dyDescent="0.3">
      <c r="B30" s="123"/>
      <c r="C30" s="43">
        <v>1991</v>
      </c>
      <c r="D30" s="43">
        <v>1992</v>
      </c>
      <c r="E30" s="43">
        <v>1993</v>
      </c>
      <c r="F30" s="43">
        <v>1994</v>
      </c>
      <c r="G30" s="43">
        <v>1995</v>
      </c>
      <c r="H30" s="43">
        <v>1996</v>
      </c>
      <c r="I30" s="43">
        <v>1997</v>
      </c>
      <c r="J30" s="43">
        <v>1998</v>
      </c>
      <c r="K30" s="48">
        <v>1999</v>
      </c>
      <c r="L30" s="51">
        <v>2000</v>
      </c>
      <c r="M30" s="51">
        <v>2001</v>
      </c>
      <c r="N30" s="51">
        <v>2002</v>
      </c>
      <c r="O30" s="51">
        <v>2003</v>
      </c>
      <c r="P30" s="51">
        <v>2004</v>
      </c>
      <c r="Q30" s="51">
        <v>2005</v>
      </c>
      <c r="R30" s="51">
        <v>2006</v>
      </c>
      <c r="S30" s="51">
        <v>2007</v>
      </c>
      <c r="T30" s="54">
        <v>2008</v>
      </c>
    </row>
    <row r="31" spans="2:20" ht="13.5" customHeight="1" x14ac:dyDescent="0.3">
      <c r="B31" s="124" t="s">
        <v>113</v>
      </c>
      <c r="C31" s="126">
        <f t="shared" ref="C31:T31" si="0">C26*6.25%</f>
        <v>2490680.25</v>
      </c>
      <c r="D31" s="126">
        <f t="shared" si="0"/>
        <v>2573584.9375</v>
      </c>
      <c r="E31" s="126">
        <f t="shared" si="0"/>
        <v>2811118</v>
      </c>
      <c r="F31" s="126">
        <f t="shared" si="0"/>
        <v>2833726.125</v>
      </c>
      <c r="G31" s="126">
        <f t="shared" si="0"/>
        <v>2897852.6875</v>
      </c>
      <c r="H31" s="126">
        <f t="shared" si="0"/>
        <v>2892163.5625</v>
      </c>
      <c r="I31" s="126">
        <f t="shared" si="0"/>
        <v>2919212.25</v>
      </c>
      <c r="J31" s="126">
        <f t="shared" si="0"/>
        <v>3165813.5625</v>
      </c>
      <c r="K31" s="126">
        <f t="shared" si="0"/>
        <v>3230351.3125</v>
      </c>
      <c r="L31" s="126">
        <f t="shared" si="0"/>
        <v>3196586.25</v>
      </c>
      <c r="M31" s="126">
        <f t="shared" si="0"/>
        <v>3066396.25</v>
      </c>
      <c r="N31" s="126">
        <f t="shared" si="0"/>
        <v>3017443</v>
      </c>
      <c r="O31" s="126">
        <f t="shared" si="0"/>
        <v>3265264.8125</v>
      </c>
      <c r="P31" s="126">
        <f t="shared" si="0"/>
        <v>3253298.125</v>
      </c>
      <c r="Q31" s="126">
        <f t="shared" si="0"/>
        <v>3291350</v>
      </c>
      <c r="R31" s="126">
        <f t="shared" si="0"/>
        <v>3059805</v>
      </c>
      <c r="S31" s="126">
        <f t="shared" si="0"/>
        <v>3137370.25</v>
      </c>
      <c r="T31" s="126">
        <f t="shared" si="0"/>
        <v>2960059.5625</v>
      </c>
    </row>
    <row r="32" spans="2:20" ht="12.75" customHeight="1" x14ac:dyDescent="0.3">
      <c r="C32" s="121"/>
      <c r="D32" s="122"/>
      <c r="E32" s="122"/>
      <c r="F32" s="122"/>
      <c r="G32" s="122"/>
      <c r="H32" s="122"/>
      <c r="I32" s="122"/>
    </row>
    <row r="33" spans="2:20" ht="11.25" customHeight="1" x14ac:dyDescent="0.2"/>
    <row r="34" spans="2:20" ht="12.75" customHeight="1" x14ac:dyDescent="0.3">
      <c r="C34" s="1788" t="s">
        <v>125</v>
      </c>
      <c r="D34" s="1766"/>
      <c r="E34" s="1766"/>
      <c r="F34" s="1766"/>
      <c r="G34" s="1766"/>
      <c r="H34" s="1766"/>
      <c r="I34" s="1766"/>
      <c r="J34" s="1766"/>
      <c r="K34" s="1766"/>
    </row>
    <row r="35" spans="2:20" ht="12.75" customHeight="1" x14ac:dyDescent="0.3">
      <c r="C35" s="35"/>
      <c r="D35" s="24"/>
      <c r="E35" s="24"/>
      <c r="F35" s="24"/>
      <c r="G35" s="24"/>
      <c r="H35" s="24"/>
      <c r="I35" s="24"/>
      <c r="J35" s="24"/>
      <c r="K35" s="24"/>
    </row>
    <row r="36" spans="2:20" ht="12" customHeight="1" x14ac:dyDescent="0.2"/>
    <row r="37" spans="2:20" ht="12.75" customHeight="1" x14ac:dyDescent="0.3">
      <c r="B37" s="41"/>
      <c r="C37" s="43">
        <v>1991</v>
      </c>
      <c r="D37" s="43">
        <v>1992</v>
      </c>
      <c r="E37" s="43">
        <v>1993</v>
      </c>
      <c r="F37" s="43">
        <v>1994</v>
      </c>
      <c r="G37" s="43">
        <v>1995</v>
      </c>
      <c r="H37" s="43">
        <v>1996</v>
      </c>
      <c r="I37" s="43">
        <v>1997</v>
      </c>
      <c r="J37" s="43">
        <v>1998</v>
      </c>
      <c r="K37" s="48">
        <v>1999</v>
      </c>
      <c r="L37" s="51">
        <v>2000</v>
      </c>
      <c r="M37" s="51">
        <v>2001</v>
      </c>
      <c r="N37" s="51">
        <v>2002</v>
      </c>
      <c r="O37" s="51">
        <v>2003</v>
      </c>
      <c r="P37" s="51">
        <v>2004</v>
      </c>
      <c r="Q37" s="51">
        <v>2005</v>
      </c>
      <c r="R37" s="51">
        <v>2006</v>
      </c>
      <c r="S37" s="51">
        <v>2007</v>
      </c>
      <c r="T37" s="54">
        <v>2008</v>
      </c>
    </row>
    <row r="38" spans="2:20" ht="13.5" customHeight="1" x14ac:dyDescent="0.3">
      <c r="B38" s="129" t="s">
        <v>132</v>
      </c>
      <c r="C38" s="130">
        <f t="shared" ref="C38:T38" si="1">C26-C31</f>
        <v>37360203.75</v>
      </c>
      <c r="D38" s="130">
        <f t="shared" si="1"/>
        <v>38603774.0625</v>
      </c>
      <c r="E38" s="130">
        <f t="shared" si="1"/>
        <v>42166770</v>
      </c>
      <c r="F38" s="130">
        <f t="shared" si="1"/>
        <v>42505891.875</v>
      </c>
      <c r="G38" s="130">
        <f t="shared" si="1"/>
        <v>43467790.3125</v>
      </c>
      <c r="H38" s="130">
        <f t="shared" si="1"/>
        <v>43382453.4375</v>
      </c>
      <c r="I38" s="130">
        <f t="shared" si="1"/>
        <v>43788183.75</v>
      </c>
      <c r="J38" s="130">
        <f t="shared" si="1"/>
        <v>47487203.4375</v>
      </c>
      <c r="K38" s="130">
        <f t="shared" si="1"/>
        <v>48455269.6875</v>
      </c>
      <c r="L38" s="130">
        <f t="shared" si="1"/>
        <v>47948793.75</v>
      </c>
      <c r="M38" s="130">
        <f t="shared" si="1"/>
        <v>45995943.75</v>
      </c>
      <c r="N38" s="130">
        <f t="shared" si="1"/>
        <v>45261645</v>
      </c>
      <c r="O38" s="130">
        <f t="shared" si="1"/>
        <v>48978972.1875</v>
      </c>
      <c r="P38" s="130">
        <f t="shared" si="1"/>
        <v>48799471.875</v>
      </c>
      <c r="Q38" s="130">
        <f t="shared" si="1"/>
        <v>49370250</v>
      </c>
      <c r="R38" s="130">
        <f t="shared" si="1"/>
        <v>45897075</v>
      </c>
      <c r="S38" s="130">
        <f t="shared" si="1"/>
        <v>47060553.75</v>
      </c>
      <c r="T38" s="130">
        <f t="shared" si="1"/>
        <v>44400893.4375</v>
      </c>
    </row>
    <row r="39" spans="2:20" ht="11.25" customHeight="1" x14ac:dyDescent="0.2"/>
    <row r="40" spans="2:20" ht="11.25" customHeight="1" x14ac:dyDescent="0.2"/>
    <row r="41" spans="2:20" ht="12.75" customHeight="1" x14ac:dyDescent="0.3">
      <c r="E41" s="131" t="s">
        <v>148</v>
      </c>
      <c r="F41" s="132"/>
      <c r="G41" s="132"/>
      <c r="H41" s="132"/>
      <c r="I41" s="132"/>
    </row>
    <row r="42" spans="2:20" ht="12" customHeight="1" x14ac:dyDescent="0.2"/>
    <row r="43" spans="2:20" ht="12.75" customHeight="1" x14ac:dyDescent="0.3">
      <c r="B43" s="41"/>
      <c r="C43" s="43">
        <v>1991</v>
      </c>
      <c r="D43" s="43">
        <v>1992</v>
      </c>
      <c r="E43" s="43">
        <v>1993</v>
      </c>
      <c r="F43" s="43">
        <v>1994</v>
      </c>
      <c r="G43" s="43">
        <v>1995</v>
      </c>
      <c r="H43" s="43">
        <v>1996</v>
      </c>
      <c r="I43" s="43">
        <v>1997</v>
      </c>
      <c r="J43" s="43">
        <v>1998</v>
      </c>
      <c r="K43" s="43">
        <v>1999</v>
      </c>
      <c r="L43" s="43">
        <v>2000</v>
      </c>
      <c r="M43" s="43">
        <v>2001</v>
      </c>
      <c r="N43" s="43">
        <v>2002</v>
      </c>
      <c r="O43" s="43">
        <v>2003</v>
      </c>
      <c r="P43" s="43">
        <v>2004</v>
      </c>
      <c r="Q43" s="43">
        <v>2005</v>
      </c>
      <c r="R43" s="43">
        <v>2006</v>
      </c>
      <c r="S43" s="43">
        <v>2007</v>
      </c>
      <c r="T43" s="100">
        <v>2008</v>
      </c>
    </row>
    <row r="44" spans="2:20" ht="11.25" customHeight="1" x14ac:dyDescent="0.2">
      <c r="B44" s="56" t="s">
        <v>150</v>
      </c>
      <c r="C44" s="133">
        <v>20295448</v>
      </c>
      <c r="D44" s="134">
        <v>19762032</v>
      </c>
      <c r="E44" s="134">
        <v>21546122</v>
      </c>
      <c r="F44" s="134">
        <v>21666119</v>
      </c>
      <c r="G44" s="134">
        <v>22233807</v>
      </c>
      <c r="H44" s="134">
        <v>22985772</v>
      </c>
      <c r="I44" s="134">
        <v>21936662</v>
      </c>
      <c r="J44" s="134">
        <v>22406855</v>
      </c>
      <c r="K44" s="134">
        <v>23342423</v>
      </c>
      <c r="L44" s="133">
        <v>23949315</v>
      </c>
      <c r="M44" s="133">
        <v>24294096</v>
      </c>
      <c r="N44" s="133">
        <v>25489053</v>
      </c>
      <c r="O44" s="133">
        <v>26671274</v>
      </c>
      <c r="P44" s="133">
        <v>27951978</v>
      </c>
      <c r="Q44" s="133">
        <v>28439645</v>
      </c>
      <c r="R44" s="133">
        <v>26905386</v>
      </c>
      <c r="S44" s="73">
        <v>28194802</v>
      </c>
      <c r="T44" s="135">
        <v>27144255</v>
      </c>
    </row>
    <row r="45" spans="2:20" ht="11.25" customHeight="1" x14ac:dyDescent="0.2">
      <c r="B45" s="56" t="s">
        <v>155</v>
      </c>
      <c r="C45" s="133">
        <v>10667414</v>
      </c>
      <c r="D45" s="133">
        <v>10769686</v>
      </c>
      <c r="E45" s="133">
        <v>11316964</v>
      </c>
      <c r="F45" s="133">
        <v>13253588</v>
      </c>
      <c r="G45" s="133">
        <v>23096405</v>
      </c>
      <c r="H45" s="133">
        <v>23126094</v>
      </c>
      <c r="I45" s="133">
        <v>23418552</v>
      </c>
      <c r="J45" s="133">
        <v>24284167</v>
      </c>
      <c r="K45" s="133">
        <v>24988489</v>
      </c>
      <c r="L45" s="133">
        <v>25804298</v>
      </c>
      <c r="M45" s="133">
        <v>26243614</v>
      </c>
      <c r="N45" s="133">
        <v>21044289</v>
      </c>
      <c r="O45" s="133">
        <v>16950347</v>
      </c>
      <c r="P45" s="133">
        <v>17264135</v>
      </c>
      <c r="Q45" s="133">
        <v>17931771</v>
      </c>
      <c r="R45" s="133">
        <v>29729030</v>
      </c>
      <c r="S45" s="73">
        <v>30691159</v>
      </c>
      <c r="T45" s="135">
        <v>30002993</v>
      </c>
    </row>
    <row r="46" spans="2:20" ht="11.25" customHeight="1" x14ac:dyDescent="0.2">
      <c r="B46" s="56" t="s">
        <v>157</v>
      </c>
      <c r="C46" s="133">
        <v>19448114</v>
      </c>
      <c r="D46" s="133">
        <v>19768026</v>
      </c>
      <c r="E46" s="133">
        <v>20200630</v>
      </c>
      <c r="F46" s="133">
        <v>19037490</v>
      </c>
      <c r="G46" s="133">
        <v>10057219</v>
      </c>
      <c r="H46" s="133">
        <v>10098447</v>
      </c>
      <c r="I46" s="133">
        <v>10127852</v>
      </c>
      <c r="J46" s="133">
        <v>10343675</v>
      </c>
      <c r="K46" s="133">
        <v>9936115</v>
      </c>
      <c r="L46" s="133">
        <v>10066312</v>
      </c>
      <c r="M46" s="133">
        <v>10176724</v>
      </c>
      <c r="N46" s="133">
        <v>20874507</v>
      </c>
      <c r="O46" s="133">
        <v>27175526</v>
      </c>
      <c r="P46" s="133">
        <v>21194572</v>
      </c>
      <c r="Q46" s="133">
        <v>21516638</v>
      </c>
      <c r="R46" s="133">
        <v>6057030</v>
      </c>
      <c r="S46" s="73">
        <v>5980358</v>
      </c>
      <c r="T46" s="135">
        <v>5649943</v>
      </c>
    </row>
    <row r="47" spans="2:20" ht="11.25" customHeight="1" x14ac:dyDescent="0.2">
      <c r="B47" s="56" t="s">
        <v>165</v>
      </c>
      <c r="C47" s="133">
        <v>0</v>
      </c>
      <c r="D47" s="133">
        <v>0</v>
      </c>
      <c r="E47" s="133">
        <v>0</v>
      </c>
      <c r="F47" s="133">
        <v>0</v>
      </c>
      <c r="G47" s="133">
        <v>0</v>
      </c>
      <c r="H47" s="133">
        <v>0</v>
      </c>
      <c r="I47" s="133">
        <v>0</v>
      </c>
      <c r="J47" s="133">
        <v>0</v>
      </c>
      <c r="K47" s="133">
        <v>0</v>
      </c>
      <c r="L47" s="133">
        <v>0</v>
      </c>
      <c r="M47" s="133">
        <v>0</v>
      </c>
      <c r="N47" s="133">
        <v>0</v>
      </c>
      <c r="O47" s="133">
        <v>461436</v>
      </c>
      <c r="P47" s="133">
        <v>481015</v>
      </c>
      <c r="Q47" s="133">
        <v>477331</v>
      </c>
      <c r="R47" s="133">
        <v>481697</v>
      </c>
      <c r="S47" s="73">
        <v>524341</v>
      </c>
      <c r="T47" s="135">
        <v>528586</v>
      </c>
    </row>
    <row r="48" spans="2:20" ht="12" customHeight="1" x14ac:dyDescent="0.2">
      <c r="B48" s="110" t="s">
        <v>167</v>
      </c>
      <c r="C48" s="137">
        <v>696831</v>
      </c>
      <c r="D48" s="137">
        <v>689042</v>
      </c>
      <c r="E48" s="137">
        <v>808686</v>
      </c>
      <c r="F48" s="137">
        <v>794428</v>
      </c>
      <c r="G48" s="137">
        <v>770615</v>
      </c>
      <c r="H48" s="137">
        <v>787207</v>
      </c>
      <c r="I48" s="137">
        <v>781420</v>
      </c>
      <c r="J48" s="137">
        <v>798935</v>
      </c>
      <c r="K48" s="137">
        <v>819198</v>
      </c>
      <c r="L48" s="137">
        <v>857876</v>
      </c>
      <c r="M48" s="137">
        <v>925586</v>
      </c>
      <c r="N48" s="137">
        <v>972057</v>
      </c>
      <c r="O48" s="137">
        <v>0</v>
      </c>
      <c r="P48" s="137">
        <v>0</v>
      </c>
      <c r="Q48" s="137">
        <v>0</v>
      </c>
      <c r="R48" s="137">
        <v>0</v>
      </c>
      <c r="S48" s="138">
        <v>0</v>
      </c>
      <c r="T48" s="140">
        <v>0</v>
      </c>
    </row>
    <row r="49" spans="2:20" ht="13.5" customHeight="1" x14ac:dyDescent="0.3">
      <c r="B49" s="141" t="s">
        <v>172</v>
      </c>
      <c r="C49" s="142">
        <v>51107809</v>
      </c>
      <c r="D49" s="143">
        <v>50988788</v>
      </c>
      <c r="E49" s="143">
        <v>53872404</v>
      </c>
      <c r="F49" s="143">
        <v>54751623</v>
      </c>
      <c r="G49" s="143">
        <v>56158046</v>
      </c>
      <c r="H49" s="143">
        <v>56997520</v>
      </c>
      <c r="I49" s="143">
        <v>56264486</v>
      </c>
      <c r="J49" s="143">
        <v>57833638</v>
      </c>
      <c r="K49" s="143">
        <v>59086225</v>
      </c>
      <c r="L49" s="142">
        <f t="shared" ref="L49:T49" si="2">SUM(L44:L48)</f>
        <v>60677801</v>
      </c>
      <c r="M49" s="142">
        <f t="shared" si="2"/>
        <v>61640020</v>
      </c>
      <c r="N49" s="142">
        <f t="shared" si="2"/>
        <v>68379906</v>
      </c>
      <c r="O49" s="142">
        <f t="shared" si="2"/>
        <v>71258583</v>
      </c>
      <c r="P49" s="142">
        <f t="shared" si="2"/>
        <v>66891700</v>
      </c>
      <c r="Q49" s="142">
        <f t="shared" si="2"/>
        <v>68365385</v>
      </c>
      <c r="R49" s="142">
        <f t="shared" si="2"/>
        <v>63173143</v>
      </c>
      <c r="S49" s="145">
        <f t="shared" si="2"/>
        <v>65390660</v>
      </c>
      <c r="T49" s="146">
        <f t="shared" si="2"/>
        <v>63325777</v>
      </c>
    </row>
    <row r="50" spans="2:20" ht="13.5" customHeight="1" x14ac:dyDescent="0.3">
      <c r="B50" s="141" t="s">
        <v>182</v>
      </c>
      <c r="C50" s="142">
        <f t="shared" ref="C50:T50" si="3">C49*1.0625</f>
        <v>54302047.0625</v>
      </c>
      <c r="D50" s="142">
        <f t="shared" si="3"/>
        <v>54175587.25</v>
      </c>
      <c r="E50" s="142">
        <f t="shared" si="3"/>
        <v>57239429.25</v>
      </c>
      <c r="F50" s="142">
        <f t="shared" si="3"/>
        <v>58173599.4375</v>
      </c>
      <c r="G50" s="142">
        <f t="shared" si="3"/>
        <v>59667923.875</v>
      </c>
      <c r="H50" s="142">
        <f t="shared" si="3"/>
        <v>60559865</v>
      </c>
      <c r="I50" s="142">
        <f t="shared" si="3"/>
        <v>59781016.375</v>
      </c>
      <c r="J50" s="142">
        <f t="shared" si="3"/>
        <v>61448240.375</v>
      </c>
      <c r="K50" s="142">
        <f t="shared" si="3"/>
        <v>62779114.0625</v>
      </c>
      <c r="L50" s="142">
        <f t="shared" si="3"/>
        <v>64470163.5625</v>
      </c>
      <c r="M50" s="142">
        <f t="shared" si="3"/>
        <v>65492521.25</v>
      </c>
      <c r="N50" s="142">
        <f t="shared" si="3"/>
        <v>72653650.125</v>
      </c>
      <c r="O50" s="142">
        <f t="shared" si="3"/>
        <v>75712244.4375</v>
      </c>
      <c r="P50" s="142">
        <f t="shared" si="3"/>
        <v>71072431.25</v>
      </c>
      <c r="Q50" s="142">
        <f t="shared" si="3"/>
        <v>72638221.5625</v>
      </c>
      <c r="R50" s="142">
        <f t="shared" si="3"/>
        <v>67121464.4375</v>
      </c>
      <c r="S50" s="142">
        <f t="shared" si="3"/>
        <v>69477576.25</v>
      </c>
      <c r="T50" s="142">
        <f t="shared" si="3"/>
        <v>67283638.0625</v>
      </c>
    </row>
    <row r="51" spans="2:20" ht="11.25" customHeight="1" x14ac:dyDescent="0.2">
      <c r="C51" s="99"/>
    </row>
    <row r="52" spans="2:20" ht="11.25" customHeight="1" x14ac:dyDescent="0.2"/>
    <row r="53" spans="2:20" ht="11.25" customHeight="1" x14ac:dyDescent="0.2"/>
    <row r="54" spans="2:20" ht="12.75" customHeight="1" x14ac:dyDescent="0.3">
      <c r="E54" s="1788" t="s">
        <v>195</v>
      </c>
      <c r="F54" s="1766"/>
      <c r="G54" s="1766"/>
      <c r="H54" s="1766"/>
      <c r="I54" s="1766"/>
      <c r="J54" s="1766"/>
    </row>
    <row r="55" spans="2:20" ht="12" customHeight="1" x14ac:dyDescent="0.2"/>
    <row r="56" spans="2:20" ht="12.75" customHeight="1" x14ac:dyDescent="0.3">
      <c r="B56" s="41"/>
      <c r="C56" s="43">
        <v>1991</v>
      </c>
      <c r="D56" s="43">
        <v>1992</v>
      </c>
      <c r="E56" s="43">
        <v>1993</v>
      </c>
      <c r="F56" s="43">
        <v>1994</v>
      </c>
      <c r="G56" s="43">
        <v>1995</v>
      </c>
      <c r="H56" s="43">
        <v>1996</v>
      </c>
      <c r="I56" s="43">
        <v>1997</v>
      </c>
      <c r="J56" s="43">
        <v>1998</v>
      </c>
      <c r="K56" s="43">
        <v>1999</v>
      </c>
      <c r="L56" s="43">
        <v>2000</v>
      </c>
      <c r="M56" s="43">
        <v>2001</v>
      </c>
      <c r="N56" s="43">
        <v>2002</v>
      </c>
      <c r="O56" s="43">
        <v>2003</v>
      </c>
      <c r="P56" s="43">
        <v>2004</v>
      </c>
      <c r="Q56" s="43">
        <v>2005</v>
      </c>
      <c r="R56" s="43">
        <v>2006</v>
      </c>
      <c r="S56" s="43">
        <v>2007</v>
      </c>
      <c r="T56" s="100">
        <v>2008</v>
      </c>
    </row>
    <row r="57" spans="2:20" ht="13.5" customHeight="1" x14ac:dyDescent="0.3">
      <c r="B57" s="150" t="s">
        <v>198</v>
      </c>
      <c r="C57" s="151">
        <f t="shared" ref="C57:T57" si="4">C50-C26</f>
        <v>14451163.0625</v>
      </c>
      <c r="D57" s="151">
        <f t="shared" si="4"/>
        <v>12998228.25</v>
      </c>
      <c r="E57" s="151">
        <f t="shared" si="4"/>
        <v>12261541.25</v>
      </c>
      <c r="F57" s="151">
        <f t="shared" si="4"/>
        <v>12833981.4375</v>
      </c>
      <c r="G57" s="151">
        <f t="shared" si="4"/>
        <v>13302280.875</v>
      </c>
      <c r="H57" s="151">
        <f t="shared" si="4"/>
        <v>14285248</v>
      </c>
      <c r="I57" s="151">
        <f t="shared" si="4"/>
        <v>13073620.375</v>
      </c>
      <c r="J57" s="151">
        <f t="shared" si="4"/>
        <v>10795223.375</v>
      </c>
      <c r="K57" s="151">
        <f t="shared" si="4"/>
        <v>11093493.0625</v>
      </c>
      <c r="L57" s="151">
        <f t="shared" si="4"/>
        <v>13324783.5625</v>
      </c>
      <c r="M57" s="151">
        <f t="shared" si="4"/>
        <v>16430181.25</v>
      </c>
      <c r="N57" s="151">
        <f t="shared" si="4"/>
        <v>24374562.125</v>
      </c>
      <c r="O57" s="151">
        <f t="shared" si="4"/>
        <v>23468007.4375</v>
      </c>
      <c r="P57" s="151">
        <f t="shared" si="4"/>
        <v>19019661.25</v>
      </c>
      <c r="Q57" s="151">
        <f t="shared" si="4"/>
        <v>19976621.5625</v>
      </c>
      <c r="R57" s="151">
        <f t="shared" si="4"/>
        <v>18164584.4375</v>
      </c>
      <c r="S57" s="151">
        <f t="shared" si="4"/>
        <v>19279652.25</v>
      </c>
      <c r="T57" s="151">
        <f t="shared" si="4"/>
        <v>19922685.0625</v>
      </c>
    </row>
    <row r="58" spans="2:20" ht="11.25" customHeight="1" x14ac:dyDescent="0.2"/>
    <row r="59" spans="2:20" ht="11.25" customHeight="1" x14ac:dyDescent="0.2">
      <c r="R59" s="99"/>
    </row>
    <row r="60" spans="2:20" ht="12.75" customHeight="1" x14ac:dyDescent="0.3">
      <c r="E60" s="35" t="s">
        <v>215</v>
      </c>
    </row>
    <row r="61" spans="2:20" ht="12.75" customHeight="1" x14ac:dyDescent="0.3">
      <c r="E61" s="35"/>
      <c r="R61" s="99"/>
    </row>
    <row r="62" spans="2:20" ht="14.25" customHeight="1" x14ac:dyDescent="0.3">
      <c r="B62" s="35" t="s">
        <v>218</v>
      </c>
      <c r="E62" s="35"/>
      <c r="I62" s="161" t="s">
        <v>220</v>
      </c>
      <c r="R62" s="162"/>
    </row>
    <row r="63" spans="2:20" ht="14.25" customHeight="1" x14ac:dyDescent="0.3">
      <c r="B63" s="161" t="s">
        <v>226</v>
      </c>
      <c r="E63" s="35"/>
      <c r="I63" s="161" t="s">
        <v>227</v>
      </c>
    </row>
    <row r="64" spans="2:20" ht="12.75" customHeight="1" x14ac:dyDescent="0.3">
      <c r="B64" s="165">
        <v>1252</v>
      </c>
      <c r="E64" s="35"/>
      <c r="I64" s="84">
        <f>(B64*R57)/2000</f>
        <v>11371029.857875001</v>
      </c>
    </row>
    <row r="65" spans="2:11" ht="12" customHeight="1" x14ac:dyDescent="0.2">
      <c r="B65" s="53">
        <f>K74*2204.623/K70</f>
        <v>1253.1420396132953</v>
      </c>
    </row>
    <row r="66" spans="2:11" ht="13.5" customHeight="1" x14ac:dyDescent="0.25">
      <c r="B66" s="169"/>
      <c r="C66" s="170" t="s">
        <v>40</v>
      </c>
      <c r="D66" s="172" t="s">
        <v>84</v>
      </c>
      <c r="E66" s="172" t="s">
        <v>63</v>
      </c>
      <c r="F66" s="172" t="s">
        <v>83</v>
      </c>
      <c r="G66" s="172" t="s">
        <v>235</v>
      </c>
      <c r="H66" s="172" t="s">
        <v>236</v>
      </c>
      <c r="I66" s="173" t="s">
        <v>237</v>
      </c>
      <c r="J66" s="170" t="s">
        <v>239</v>
      </c>
      <c r="K66" s="175" t="s">
        <v>95</v>
      </c>
    </row>
    <row r="67" spans="2:11" ht="11.25" customHeight="1" x14ac:dyDescent="0.2">
      <c r="B67" s="176"/>
      <c r="C67" s="64"/>
      <c r="D67" s="24"/>
      <c r="E67" s="24"/>
      <c r="F67" s="24"/>
      <c r="G67" s="24"/>
      <c r="H67" s="24"/>
      <c r="I67" s="24"/>
      <c r="J67" s="64"/>
      <c r="K67" s="66"/>
    </row>
    <row r="68" spans="2:11" ht="13.5" customHeight="1" x14ac:dyDescent="0.25">
      <c r="B68" s="177" t="s">
        <v>244</v>
      </c>
      <c r="C68" s="178">
        <v>57.478968906379997</v>
      </c>
      <c r="D68" s="178">
        <v>34.975470491460001</v>
      </c>
      <c r="E68" s="178">
        <v>5.1416049313599999</v>
      </c>
      <c r="F68" s="178">
        <v>0.30854740784000007</v>
      </c>
      <c r="G68" s="179">
        <v>1.1203992572399999</v>
      </c>
      <c r="H68" s="179">
        <v>0.56948828446999999</v>
      </c>
      <c r="I68" s="178">
        <v>0.11589154815</v>
      </c>
      <c r="J68" s="180">
        <v>0.15204403887999998</v>
      </c>
      <c r="K68" s="181">
        <f>SUM(C68:J68)</f>
        <v>99.862414865779996</v>
      </c>
    </row>
    <row r="69" spans="2:11" ht="11.25" customHeight="1" x14ac:dyDescent="0.2">
      <c r="B69" s="182"/>
      <c r="C69" s="24"/>
      <c r="D69" s="24"/>
      <c r="E69" s="24"/>
      <c r="F69" s="24"/>
      <c r="G69" s="24"/>
      <c r="H69" s="24"/>
      <c r="I69" s="24"/>
      <c r="J69" s="24"/>
      <c r="K69" s="183"/>
    </row>
    <row r="70" spans="2:11" ht="11.25" customHeight="1" x14ac:dyDescent="0.2">
      <c r="B70" s="182" t="s">
        <v>254</v>
      </c>
      <c r="C70" s="84">
        <f>(C68/100)*R57</f>
        <v>10440815.840803765</v>
      </c>
      <c r="D70" s="84">
        <f>(D68/100)*R57</f>
        <v>6353148.8698341483</v>
      </c>
      <c r="E70" s="84">
        <f>(E68/100)*R57</f>
        <v>933951.16919955111</v>
      </c>
      <c r="F70" s="84">
        <f>(F68/100)*R57</f>
        <v>56046.354426814309</v>
      </c>
      <c r="G70" s="84">
        <f>(G68/100)*R57</f>
        <v>203515.8691184826</v>
      </c>
      <c r="H70" s="84">
        <f>(H68/100)*R57</f>
        <v>103445.18029422335</v>
      </c>
      <c r="I70" s="84">
        <f>(I68/100)*R57</f>
        <v>21051.218119632718</v>
      </c>
      <c r="J70" s="84">
        <f>(J68/100)*R57</f>
        <v>27618.167824542928</v>
      </c>
      <c r="K70" s="185">
        <f>SUM(C70:J70)</f>
        <v>18139592.669621162</v>
      </c>
    </row>
    <row r="71" spans="2:11" ht="11.25" customHeight="1" x14ac:dyDescent="0.2">
      <c r="B71" s="182"/>
      <c r="C71" s="24"/>
      <c r="D71" s="24"/>
      <c r="E71" s="24"/>
      <c r="F71" s="24"/>
      <c r="G71" s="24"/>
      <c r="H71" s="24"/>
      <c r="I71" s="24"/>
      <c r="J71" s="24"/>
      <c r="K71" s="183"/>
    </row>
    <row r="72" spans="2:11" ht="14.25" customHeight="1" x14ac:dyDescent="0.25">
      <c r="B72" s="182" t="s">
        <v>277</v>
      </c>
      <c r="C72" s="186">
        <v>0.92714314889927729</v>
      </c>
      <c r="D72" s="188"/>
      <c r="E72" s="99">
        <v>0.56866252342279933</v>
      </c>
      <c r="F72" s="99">
        <v>0.88599531833454104</v>
      </c>
      <c r="G72" s="188"/>
      <c r="H72" s="99">
        <v>0.44810377532467283</v>
      </c>
      <c r="I72" s="188"/>
      <c r="J72" s="186">
        <v>0.12969805403896778</v>
      </c>
      <c r="K72" s="189"/>
    </row>
    <row r="73" spans="2:11" ht="11.25" customHeight="1" x14ac:dyDescent="0.2">
      <c r="B73" s="182"/>
      <c r="C73" s="24"/>
      <c r="D73" s="24"/>
      <c r="E73" s="24"/>
      <c r="F73" s="24"/>
      <c r="G73" s="24"/>
      <c r="H73" s="24"/>
      <c r="I73" s="24"/>
      <c r="J73" s="24"/>
      <c r="K73" s="183"/>
    </row>
    <row r="74" spans="2:11" ht="14.25" customHeight="1" x14ac:dyDescent="0.25">
      <c r="B74" s="182" t="s">
        <v>281</v>
      </c>
      <c r="C74" s="84">
        <f>C70*C72</f>
        <v>9680130.8757202588</v>
      </c>
      <c r="D74" s="188"/>
      <c r="E74" s="84">
        <f t="shared" ref="E74:F74" si="5">E70*E72</f>
        <v>531103.02863069053</v>
      </c>
      <c r="F74" s="84">
        <f t="shared" si="5"/>
        <v>49656.807631875854</v>
      </c>
      <c r="G74" s="188"/>
      <c r="H74" s="84">
        <f>H70*H72</f>
        <v>46354.17582898293</v>
      </c>
      <c r="I74" s="188"/>
      <c r="J74" s="84">
        <f>J70*J72</f>
        <v>3582.0226229648501</v>
      </c>
      <c r="K74" s="185">
        <f>SUM(C74:J74)</f>
        <v>10310826.910434773</v>
      </c>
    </row>
    <row r="75" spans="2:11" ht="11.25" customHeight="1" x14ac:dyDescent="0.2">
      <c r="B75" s="182"/>
      <c r="C75" s="24"/>
      <c r="D75" s="24"/>
      <c r="E75" s="24"/>
      <c r="F75" s="24"/>
      <c r="G75" s="24"/>
      <c r="H75" s="24"/>
      <c r="I75" s="24"/>
      <c r="J75" s="24"/>
      <c r="K75" s="183"/>
    </row>
    <row r="76" spans="2:11" ht="14.25" customHeight="1" x14ac:dyDescent="0.25">
      <c r="B76" s="182" t="s">
        <v>293</v>
      </c>
      <c r="C76" s="99">
        <f>C74/1000000</f>
        <v>9.6801308757202591</v>
      </c>
      <c r="D76" s="188"/>
      <c r="E76" s="99">
        <f t="shared" ref="E76:F76" si="6">E74/1000000</f>
        <v>0.53110302863069059</v>
      </c>
      <c r="F76" s="99">
        <f t="shared" si="6"/>
        <v>4.9656807631875854E-2</v>
      </c>
      <c r="G76" s="188"/>
      <c r="H76" s="99">
        <f>H74/1000000</f>
        <v>4.6354175828982928E-2</v>
      </c>
      <c r="I76" s="188"/>
      <c r="J76" s="99">
        <f t="shared" ref="J76:K76" si="7">J74/1000000</f>
        <v>3.5820226229648501E-3</v>
      </c>
      <c r="K76" s="192">
        <f t="shared" si="7"/>
        <v>10.310826910434773</v>
      </c>
    </row>
    <row r="77" spans="2:11" ht="12" customHeight="1" x14ac:dyDescent="0.2">
      <c r="B77" s="194"/>
      <c r="C77" s="74"/>
      <c r="D77" s="74"/>
      <c r="E77" s="74"/>
      <c r="F77" s="74"/>
      <c r="G77" s="74"/>
      <c r="H77" s="74"/>
      <c r="I77" s="74"/>
      <c r="J77" s="74"/>
      <c r="K77" s="195"/>
    </row>
    <row r="78" spans="2:11" ht="11.25" customHeight="1" x14ac:dyDescent="0.2"/>
    <row r="79" spans="2:11" ht="11.25" customHeight="1" x14ac:dyDescent="0.2"/>
    <row r="80" spans="2:11" ht="11.25" customHeight="1" x14ac:dyDescent="0.2"/>
    <row r="81" spans="2:20" ht="14.25" customHeight="1" x14ac:dyDescent="0.3">
      <c r="E81" s="1788" t="s">
        <v>307</v>
      </c>
      <c r="F81" s="1766"/>
      <c r="G81" s="1766"/>
      <c r="H81" s="1766"/>
      <c r="I81" s="1766"/>
      <c r="J81" s="1766"/>
    </row>
    <row r="82" spans="2:20" ht="12" customHeight="1" x14ac:dyDescent="0.2"/>
    <row r="83" spans="2:20" ht="12.75" customHeight="1" x14ac:dyDescent="0.3">
      <c r="B83" s="41"/>
      <c r="C83" s="43">
        <v>1991</v>
      </c>
      <c r="D83" s="43">
        <v>1992</v>
      </c>
      <c r="E83" s="43">
        <v>1993</v>
      </c>
      <c r="F83" s="43">
        <v>1994</v>
      </c>
      <c r="G83" s="43">
        <v>1995</v>
      </c>
      <c r="H83" s="43">
        <v>1996</v>
      </c>
      <c r="I83" s="43">
        <v>1997</v>
      </c>
      <c r="J83" s="43">
        <v>1998</v>
      </c>
      <c r="K83" s="43">
        <v>1999</v>
      </c>
      <c r="L83" s="43">
        <v>2000</v>
      </c>
      <c r="M83" s="43">
        <v>2001</v>
      </c>
      <c r="N83" s="43">
        <v>2002</v>
      </c>
      <c r="O83" s="43">
        <v>2003</v>
      </c>
      <c r="P83" s="43">
        <v>2004</v>
      </c>
      <c r="Q83" s="43">
        <v>2005</v>
      </c>
      <c r="R83" s="43">
        <v>2006</v>
      </c>
      <c r="S83" s="43">
        <v>2007</v>
      </c>
      <c r="T83" s="100">
        <v>2008</v>
      </c>
    </row>
    <row r="84" spans="2:20" ht="13.5" customHeight="1" x14ac:dyDescent="0.3">
      <c r="B84" s="196" t="s">
        <v>198</v>
      </c>
      <c r="C84" s="197">
        <f t="shared" ref="C84:Q84" si="8">(C57*$B$64/2204.62262)/1000000</f>
        <v>8.206781509957473</v>
      </c>
      <c r="D84" s="197">
        <f t="shared" si="8"/>
        <v>7.3816632476536954</v>
      </c>
      <c r="E84" s="197">
        <f t="shared" si="8"/>
        <v>6.9633004332505672</v>
      </c>
      <c r="F84" s="197">
        <f t="shared" si="8"/>
        <v>7.2883878691900561</v>
      </c>
      <c r="G84" s="197">
        <f t="shared" si="8"/>
        <v>7.5543340181731411</v>
      </c>
      <c r="H84" s="197">
        <f t="shared" si="8"/>
        <v>8.1125587362430309</v>
      </c>
      <c r="I84" s="197">
        <f t="shared" si="8"/>
        <v>7.4244782580975235</v>
      </c>
      <c r="J84" s="197">
        <f t="shared" si="8"/>
        <v>6.1305819612338004</v>
      </c>
      <c r="K84" s="197">
        <f t="shared" si="8"/>
        <v>6.2999686151501058</v>
      </c>
      <c r="L84" s="197">
        <f t="shared" si="8"/>
        <v>7.5671132414716853</v>
      </c>
      <c r="M84" s="197">
        <f t="shared" si="8"/>
        <v>9.330661283426366</v>
      </c>
      <c r="N84" s="197">
        <f t="shared" si="8"/>
        <v>13.842256494900699</v>
      </c>
      <c r="O84" s="197">
        <f t="shared" si="8"/>
        <v>13.327426220343325</v>
      </c>
      <c r="P84" s="197">
        <f t="shared" si="8"/>
        <v>10.801220884234599</v>
      </c>
      <c r="Q84" s="197">
        <f t="shared" si="8"/>
        <v>11.344676394661141</v>
      </c>
      <c r="R84" s="200">
        <f>K76</f>
        <v>10.310826910434773</v>
      </c>
      <c r="S84" s="197">
        <f t="shared" ref="S84:T84" si="9">(S57*$B$64/2204.62262)/1000000</f>
        <v>10.948869161561991</v>
      </c>
      <c r="T84" s="197">
        <f t="shared" si="9"/>
        <v>11.314045983185094</v>
      </c>
    </row>
    <row r="85" spans="2:20" ht="11.25" customHeight="1" x14ac:dyDescent="0.2">
      <c r="R85" s="161">
        <f>+R57*B64/2204/1000000</f>
        <v>10.318538890993647</v>
      </c>
    </row>
    <row r="86" spans="2:20" ht="11.25" customHeight="1" x14ac:dyDescent="0.2"/>
    <row r="87" spans="2:20" ht="11.25" customHeight="1" x14ac:dyDescent="0.2"/>
    <row r="88" spans="2:20" ht="11.25" customHeight="1" x14ac:dyDescent="0.2"/>
    <row r="89" spans="2:20" ht="11.25" customHeight="1" x14ac:dyDescent="0.2"/>
    <row r="90" spans="2:20" ht="11.25" customHeight="1" x14ac:dyDescent="0.2"/>
    <row r="91" spans="2:20" ht="11.25" customHeight="1" x14ac:dyDescent="0.2"/>
    <row r="92" spans="2:20" ht="11.25" customHeight="1" x14ac:dyDescent="0.2"/>
    <row r="93" spans="2:20" ht="11.25" customHeight="1" x14ac:dyDescent="0.2"/>
    <row r="94" spans="2:20" ht="11.25" customHeight="1" x14ac:dyDescent="0.2"/>
    <row r="95" spans="2:20" ht="11.25" customHeight="1" x14ac:dyDescent="0.2"/>
    <row r="96" spans="2:20"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C34:K34"/>
    <mergeCell ref="E54:J54"/>
    <mergeCell ref="E81:J8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1002"/>
  <sheetViews>
    <sheetView workbookViewId="0"/>
  </sheetViews>
  <sheetFormatPr defaultColWidth="16.83203125" defaultRowHeight="15" customHeight="1" x14ac:dyDescent="0.2"/>
  <cols>
    <col min="1" max="1" width="8" customWidth="1"/>
    <col min="2" max="2" width="15.5" customWidth="1"/>
    <col min="3" max="3" width="16.83203125" customWidth="1"/>
    <col min="4" max="4" width="21.1640625" customWidth="1"/>
    <col min="5" max="5" width="16" customWidth="1"/>
    <col min="6" max="6" width="19.5" customWidth="1"/>
    <col min="7" max="7" width="15.1640625" customWidth="1"/>
    <col min="8" max="9" width="8" customWidth="1"/>
    <col min="10" max="10" width="11.5" customWidth="1"/>
    <col min="11" max="13" width="8" customWidth="1"/>
  </cols>
  <sheetData>
    <row r="2" spans="1:13" ht="33" x14ac:dyDescent="0.45">
      <c r="A2" s="11" t="s">
        <v>502</v>
      </c>
      <c r="B2" s="13"/>
      <c r="F2" s="24"/>
      <c r="G2" s="16"/>
      <c r="H2" s="24"/>
    </row>
    <row r="3" spans="1:13" ht="123.75" customHeight="1" x14ac:dyDescent="0.2"/>
    <row r="4" spans="1:13" ht="11.25" x14ac:dyDescent="0.2"/>
    <row r="5" spans="1:13" ht="21" customHeight="1" x14ac:dyDescent="0.4">
      <c r="B5" s="286" t="s">
        <v>506</v>
      </c>
      <c r="C5" s="33"/>
      <c r="D5" s="286"/>
      <c r="E5" s="11">
        <v>2006</v>
      </c>
      <c r="F5" s="24"/>
      <c r="G5" s="24"/>
      <c r="H5" s="24"/>
      <c r="I5" s="24"/>
      <c r="J5" s="24"/>
      <c r="K5" s="24"/>
      <c r="L5" s="24"/>
      <c r="M5" s="24"/>
    </row>
    <row r="6" spans="1:13" ht="13.5" customHeight="1" x14ac:dyDescent="0.25">
      <c r="B6" s="288"/>
      <c r="C6" s="24"/>
      <c r="D6" s="289"/>
      <c r="E6" s="288"/>
      <c r="F6" s="24"/>
      <c r="G6" s="24"/>
      <c r="H6" s="24"/>
      <c r="I6" s="24"/>
      <c r="J6" s="24"/>
      <c r="K6" s="24"/>
      <c r="L6" s="24"/>
      <c r="M6" s="24"/>
    </row>
    <row r="7" spans="1:13" ht="12" customHeight="1" x14ac:dyDescent="0.2">
      <c r="B7" s="292"/>
      <c r="C7" s="294" t="s">
        <v>351</v>
      </c>
      <c r="D7" s="294" t="s">
        <v>354</v>
      </c>
      <c r="E7" s="294" t="s">
        <v>355</v>
      </c>
      <c r="F7" s="294" t="s">
        <v>356</v>
      </c>
      <c r="G7" s="296" t="s">
        <v>356</v>
      </c>
      <c r="H7" s="24"/>
      <c r="I7" s="24"/>
      <c r="J7" s="1769" t="s">
        <v>1</v>
      </c>
      <c r="K7" s="1759"/>
      <c r="L7" s="24"/>
      <c r="M7" s="297"/>
    </row>
    <row r="8" spans="1:13" ht="11.25" customHeight="1" x14ac:dyDescent="0.2">
      <c r="B8" s="298" t="s">
        <v>20</v>
      </c>
      <c r="C8" s="299" t="s">
        <v>362</v>
      </c>
      <c r="D8" s="299" t="s">
        <v>363</v>
      </c>
      <c r="E8" s="299" t="s">
        <v>364</v>
      </c>
      <c r="F8" s="299" t="s">
        <v>365</v>
      </c>
      <c r="G8" s="300" t="s">
        <v>513</v>
      </c>
      <c r="H8" s="297"/>
      <c r="I8" s="24"/>
      <c r="J8" s="235"/>
      <c r="K8" s="235"/>
      <c r="L8" s="24"/>
      <c r="M8" s="297"/>
    </row>
    <row r="9" spans="1:13" ht="11.25" customHeight="1" x14ac:dyDescent="0.2">
      <c r="B9" s="302" t="s">
        <v>40</v>
      </c>
      <c r="C9" s="304">
        <v>94.086020000000005</v>
      </c>
      <c r="D9" s="305">
        <v>56.792727272727269</v>
      </c>
      <c r="E9" s="306">
        <v>1</v>
      </c>
      <c r="F9" s="310">
        <f t="shared" ref="F9:F13" si="0">C9*1000*D9*E9/2000</f>
        <v>2671.7008370181816</v>
      </c>
      <c r="G9" s="312">
        <f t="shared" ref="G9:G13" si="1">F9*(44/12)*0.90718/1000000</f>
        <v>8.8869497395292294E-3</v>
      </c>
      <c r="H9" s="53"/>
      <c r="I9" s="24"/>
      <c r="J9" s="240" t="s">
        <v>433</v>
      </c>
      <c r="K9" s="241">
        <f>Summary!E4</f>
        <v>1</v>
      </c>
      <c r="L9" s="53"/>
      <c r="M9" s="313"/>
    </row>
    <row r="10" spans="1:13" ht="11.25" customHeight="1" x14ac:dyDescent="0.2">
      <c r="B10" s="302" t="s">
        <v>383</v>
      </c>
      <c r="C10" s="304">
        <v>19718.99265</v>
      </c>
      <c r="D10" s="305">
        <v>43.942731277533035</v>
      </c>
      <c r="E10" s="306">
        <v>1</v>
      </c>
      <c r="F10" s="310">
        <f t="shared" si="0"/>
        <v>433253.19754129945</v>
      </c>
      <c r="G10" s="312">
        <f t="shared" si="1"/>
        <v>1.4411416644002255</v>
      </c>
      <c r="H10" s="53"/>
      <c r="I10" s="24"/>
      <c r="J10" s="240" t="s">
        <v>438</v>
      </c>
      <c r="K10" s="241">
        <f>Summary!E5</f>
        <v>27.9</v>
      </c>
      <c r="L10" s="53"/>
      <c r="M10" s="313"/>
    </row>
    <row r="11" spans="1:13" ht="11.25" customHeight="1" x14ac:dyDescent="0.2">
      <c r="B11" s="302" t="s">
        <v>403</v>
      </c>
      <c r="C11" s="304">
        <v>2477.4286499999998</v>
      </c>
      <c r="D11" s="305">
        <v>43.436123348017617</v>
      </c>
      <c r="E11" s="306">
        <v>1</v>
      </c>
      <c r="F11" s="310">
        <f t="shared" si="0"/>
        <v>53804.948213656382</v>
      </c>
      <c r="G11" s="312">
        <f t="shared" si="1"/>
        <v>0.17897283404170425</v>
      </c>
      <c r="H11" s="53"/>
      <c r="I11" s="24"/>
      <c r="J11" s="240" t="s">
        <v>444</v>
      </c>
      <c r="K11" s="241">
        <f>Summary!E6</f>
        <v>273</v>
      </c>
      <c r="L11" s="53"/>
      <c r="M11" s="313"/>
    </row>
    <row r="12" spans="1:13" ht="11.25" customHeight="1" x14ac:dyDescent="0.2">
      <c r="B12" s="302" t="s">
        <v>526</v>
      </c>
      <c r="C12" s="304">
        <v>6645.3969800000004</v>
      </c>
      <c r="D12" s="305">
        <v>37.905939726350034</v>
      </c>
      <c r="E12" s="306">
        <v>1</v>
      </c>
      <c r="F12" s="310">
        <f t="shared" si="0"/>
        <v>125950.00869077428</v>
      </c>
      <c r="G12" s="312">
        <f t="shared" si="1"/>
        <v>0.41895087257502089</v>
      </c>
      <c r="H12" s="53"/>
      <c r="I12" s="24"/>
      <c r="J12" s="240" t="s">
        <v>447</v>
      </c>
      <c r="K12" s="247">
        <f>Summary!E7</f>
        <v>24300</v>
      </c>
      <c r="L12" s="53"/>
      <c r="M12" s="313"/>
    </row>
    <row r="13" spans="1:13" ht="11.25" customHeight="1" x14ac:dyDescent="0.2">
      <c r="B13" s="302" t="s">
        <v>63</v>
      </c>
      <c r="C13" s="304">
        <v>73811.31078</v>
      </c>
      <c r="D13" s="305">
        <v>31.872246696035241</v>
      </c>
      <c r="E13" s="306">
        <v>1</v>
      </c>
      <c r="F13" s="310">
        <f t="shared" si="0"/>
        <v>1176266.1530689427</v>
      </c>
      <c r="G13" s="312">
        <f t="shared" si="1"/>
        <v>3.9126454720506394</v>
      </c>
      <c r="H13" s="53"/>
      <c r="I13" s="24"/>
      <c r="J13" s="240"/>
      <c r="K13" s="247"/>
      <c r="L13" s="53"/>
      <c r="M13" s="313"/>
    </row>
    <row r="14" spans="1:13" ht="13.5" customHeight="1" x14ac:dyDescent="0.2">
      <c r="B14" s="154"/>
      <c r="C14" s="155"/>
      <c r="D14" s="155"/>
      <c r="E14" s="250" t="s">
        <v>95</v>
      </c>
      <c r="F14" s="325"/>
      <c r="G14" s="327">
        <f>SUM(G9:G13)</f>
        <v>5.9605977928071194</v>
      </c>
      <c r="H14" s="24"/>
      <c r="I14" s="24"/>
      <c r="J14" s="24"/>
      <c r="K14" s="24"/>
      <c r="L14" s="24"/>
      <c r="M14" s="24"/>
    </row>
    <row r="15" spans="1:13" ht="12" customHeight="1" x14ac:dyDescent="0.2"/>
    <row r="16" spans="1:13" ht="21" customHeight="1" x14ac:dyDescent="0.4">
      <c r="B16" s="286" t="s">
        <v>538</v>
      </c>
      <c r="C16" s="33"/>
      <c r="D16" s="328"/>
      <c r="E16" s="11">
        <v>2006</v>
      </c>
      <c r="F16" s="24"/>
      <c r="G16" s="24"/>
      <c r="H16" s="24"/>
      <c r="I16" s="24"/>
      <c r="J16" s="24"/>
      <c r="K16" s="24"/>
      <c r="L16" s="24"/>
      <c r="M16" s="24"/>
    </row>
    <row r="17" spans="2:13" ht="13.5" customHeight="1" x14ac:dyDescent="0.25">
      <c r="B17" s="288"/>
      <c r="C17" s="24"/>
      <c r="D17" s="289"/>
      <c r="E17" s="288"/>
      <c r="F17" s="24"/>
      <c r="G17" s="24"/>
      <c r="H17" s="24"/>
      <c r="I17" s="24"/>
      <c r="J17" s="24"/>
      <c r="K17" s="24"/>
      <c r="L17" s="24"/>
      <c r="M17" s="24"/>
    </row>
    <row r="18" spans="2:13" ht="12" customHeight="1" x14ac:dyDescent="0.2">
      <c r="B18" s="26"/>
      <c r="C18" s="329" t="s">
        <v>351</v>
      </c>
      <c r="D18" s="329" t="s">
        <v>354</v>
      </c>
      <c r="E18" s="329" t="s">
        <v>356</v>
      </c>
      <c r="F18" s="329" t="s">
        <v>414</v>
      </c>
      <c r="G18" s="330" t="s">
        <v>356</v>
      </c>
      <c r="H18" s="297"/>
      <c r="I18" s="24"/>
      <c r="J18" s="24"/>
      <c r="K18" s="297"/>
      <c r="L18" s="24"/>
      <c r="M18" s="297"/>
    </row>
    <row r="19" spans="2:13" ht="11.25" customHeight="1" x14ac:dyDescent="0.2">
      <c r="B19" s="331" t="s">
        <v>20</v>
      </c>
      <c r="C19" s="297" t="s">
        <v>362</v>
      </c>
      <c r="D19" s="297" t="s">
        <v>540</v>
      </c>
      <c r="E19" s="297" t="s">
        <v>541</v>
      </c>
      <c r="F19" s="297"/>
      <c r="G19" s="332" t="s">
        <v>542</v>
      </c>
      <c r="H19" s="297"/>
      <c r="I19" s="24"/>
      <c r="J19" s="297"/>
      <c r="K19" s="297"/>
      <c r="L19" s="24"/>
      <c r="M19" s="297"/>
    </row>
    <row r="20" spans="2:13" ht="11.25" customHeight="1" x14ac:dyDescent="0.2">
      <c r="B20" s="302" t="s">
        <v>40</v>
      </c>
      <c r="C20" s="304">
        <v>94.086020000000005</v>
      </c>
      <c r="D20" s="333">
        <v>1.5034545899835E-3</v>
      </c>
      <c r="E20" s="336">
        <f t="shared" ref="E20:E25" si="2">C20*D20</f>
        <v>0.14145405862227939</v>
      </c>
      <c r="F20" s="304">
        <f t="shared" ref="F20:F25" si="3">$K$11</f>
        <v>273</v>
      </c>
      <c r="G20" s="340">
        <f t="shared" ref="G20:G25" si="4">E20*F20/1000000</f>
        <v>3.8616958003882275E-5</v>
      </c>
      <c r="H20" s="341"/>
      <c r="I20" s="24"/>
      <c r="J20" s="53"/>
      <c r="K20" s="342"/>
      <c r="L20" s="53"/>
      <c r="M20" s="342"/>
    </row>
    <row r="21" spans="2:13" ht="11.25" customHeight="1" x14ac:dyDescent="0.2">
      <c r="B21" s="302" t="s">
        <v>383</v>
      </c>
      <c r="C21" s="304">
        <v>19718.99265</v>
      </c>
      <c r="D21" s="333">
        <v>6.0138183599339984E-4</v>
      </c>
      <c r="E21" s="336">
        <f t="shared" si="2"/>
        <v>11.858644003797357</v>
      </c>
      <c r="F21" s="304">
        <f t="shared" si="3"/>
        <v>273</v>
      </c>
      <c r="G21" s="340">
        <f t="shared" si="4"/>
        <v>3.2374098130366785E-3</v>
      </c>
      <c r="H21" s="341"/>
      <c r="I21" s="24"/>
      <c r="J21" s="53"/>
      <c r="K21" s="342"/>
      <c r="L21" s="53"/>
      <c r="M21" s="342"/>
    </row>
    <row r="22" spans="2:13" ht="11.25" customHeight="1" x14ac:dyDescent="0.2">
      <c r="B22" s="302" t="s">
        <v>403</v>
      </c>
      <c r="C22" s="304">
        <v>2477.4286499999998</v>
      </c>
      <c r="D22" s="333">
        <v>6.0138183599339984E-4</v>
      </c>
      <c r="E22" s="336">
        <f t="shared" si="2"/>
        <v>1.4898805900796499</v>
      </c>
      <c r="F22" s="304">
        <f t="shared" si="3"/>
        <v>273</v>
      </c>
      <c r="G22" s="340">
        <f t="shared" si="4"/>
        <v>4.067374010917444E-4</v>
      </c>
      <c r="H22" s="341"/>
      <c r="I22" s="24"/>
      <c r="J22" s="53"/>
      <c r="K22" s="342"/>
      <c r="L22" s="53"/>
      <c r="M22" s="342"/>
    </row>
    <row r="23" spans="2:13" ht="11.25" customHeight="1" x14ac:dyDescent="0.2">
      <c r="B23" s="302" t="s">
        <v>526</v>
      </c>
      <c r="C23" s="304">
        <v>6645.3969800000004</v>
      </c>
      <c r="D23" s="333">
        <v>6.0138183599339984E-4</v>
      </c>
      <c r="E23" s="336">
        <f t="shared" si="2"/>
        <v>3.9964210367373947</v>
      </c>
      <c r="F23" s="304">
        <f t="shared" si="3"/>
        <v>273</v>
      </c>
      <c r="G23" s="340">
        <f t="shared" si="4"/>
        <v>1.0910229430293086E-3</v>
      </c>
      <c r="H23" s="341"/>
      <c r="I23" s="24"/>
      <c r="J23" s="53"/>
      <c r="K23" s="342"/>
      <c r="L23" s="53"/>
      <c r="M23" s="342"/>
    </row>
    <row r="24" spans="2:13" ht="11.25" customHeight="1" x14ac:dyDescent="0.2">
      <c r="B24" s="302" t="s">
        <v>63</v>
      </c>
      <c r="C24" s="304">
        <v>73811.31078</v>
      </c>
      <c r="D24" s="333">
        <v>9.4955026735800017E-5</v>
      </c>
      <c r="E24" s="336">
        <f t="shared" si="2"/>
        <v>7.0087549885193443</v>
      </c>
      <c r="F24" s="304">
        <f t="shared" si="3"/>
        <v>273</v>
      </c>
      <c r="G24" s="340">
        <f t="shared" si="4"/>
        <v>1.913390111865781E-3</v>
      </c>
      <c r="H24" s="341"/>
      <c r="I24" s="24"/>
      <c r="J24" s="53"/>
      <c r="K24" s="342"/>
      <c r="L24" s="53"/>
      <c r="M24" s="342"/>
    </row>
    <row r="25" spans="2:13" ht="11.25" customHeight="1" x14ac:dyDescent="0.2">
      <c r="B25" s="343" t="s">
        <v>103</v>
      </c>
      <c r="C25" s="344">
        <v>6903.1058000000003</v>
      </c>
      <c r="D25" s="345">
        <v>3.7982010694320003E-3</v>
      </c>
      <c r="E25" s="346">
        <f t="shared" si="2"/>
        <v>26.219383831962244</v>
      </c>
      <c r="F25" s="304">
        <f t="shared" si="3"/>
        <v>273</v>
      </c>
      <c r="G25" s="347">
        <f t="shared" si="4"/>
        <v>7.1578917861256919E-3</v>
      </c>
      <c r="H25" s="341"/>
      <c r="I25" s="24"/>
      <c r="J25" s="53"/>
      <c r="K25" s="342"/>
      <c r="L25" s="53"/>
      <c r="M25" s="342"/>
    </row>
    <row r="26" spans="2:13" ht="12" customHeight="1" x14ac:dyDescent="0.2">
      <c r="B26" s="348"/>
      <c r="C26" s="325"/>
      <c r="D26" s="325"/>
      <c r="E26" s="325"/>
      <c r="F26" s="349" t="s">
        <v>95</v>
      </c>
      <c r="G26" s="350">
        <f>SUM(G20:G25)</f>
        <v>1.3845069013153086E-2</v>
      </c>
      <c r="H26" s="24"/>
      <c r="I26" s="297"/>
      <c r="J26" s="53"/>
      <c r="K26" s="351"/>
      <c r="L26" s="53"/>
      <c r="M26" s="352"/>
    </row>
    <row r="27" spans="2:13" ht="12" customHeight="1" x14ac:dyDescent="0.2">
      <c r="H27" s="24"/>
      <c r="I27" s="24"/>
      <c r="J27" s="24"/>
      <c r="K27" s="24"/>
      <c r="L27" s="24"/>
      <c r="M27" s="24"/>
    </row>
    <row r="28" spans="2:13" ht="11.25" customHeight="1" x14ac:dyDescent="0.2">
      <c r="H28" s="24"/>
      <c r="I28" s="24"/>
      <c r="J28" s="24"/>
      <c r="K28" s="24"/>
      <c r="L28" s="24"/>
      <c r="M28" s="24"/>
    </row>
    <row r="29" spans="2:13" ht="21" customHeight="1" x14ac:dyDescent="0.4">
      <c r="B29" s="286" t="s">
        <v>561</v>
      </c>
      <c r="C29" s="33"/>
      <c r="D29" s="328"/>
      <c r="E29" s="11">
        <v>2006</v>
      </c>
      <c r="F29" s="24"/>
      <c r="G29" s="24"/>
      <c r="H29" s="24"/>
      <c r="I29" s="24"/>
      <c r="J29" s="24"/>
      <c r="K29" s="24"/>
      <c r="L29" s="24"/>
      <c r="M29" s="24"/>
    </row>
    <row r="30" spans="2:13" ht="13.5" customHeight="1" x14ac:dyDescent="0.25">
      <c r="B30" s="288"/>
      <c r="C30" s="24"/>
      <c r="D30" s="289"/>
      <c r="E30" s="288"/>
      <c r="F30" s="24"/>
      <c r="G30" s="24"/>
      <c r="H30" s="24"/>
      <c r="I30" s="24"/>
      <c r="J30" s="24"/>
      <c r="K30" s="24"/>
      <c r="L30" s="24"/>
      <c r="M30" s="24"/>
    </row>
    <row r="31" spans="2:13" ht="12" customHeight="1" x14ac:dyDescent="0.2">
      <c r="B31" s="26"/>
      <c r="C31" s="329" t="s">
        <v>351</v>
      </c>
      <c r="D31" s="329" t="s">
        <v>354</v>
      </c>
      <c r="E31" s="329" t="s">
        <v>356</v>
      </c>
      <c r="F31" s="329" t="s">
        <v>414</v>
      </c>
      <c r="G31" s="330" t="s">
        <v>356</v>
      </c>
      <c r="H31" s="297"/>
      <c r="I31" s="24"/>
      <c r="J31" s="24"/>
      <c r="K31" s="297"/>
      <c r="L31" s="24"/>
      <c r="M31" s="24"/>
    </row>
    <row r="32" spans="2:13" ht="11.25" customHeight="1" x14ac:dyDescent="0.2">
      <c r="B32" s="331" t="s">
        <v>20</v>
      </c>
      <c r="C32" s="297" t="s">
        <v>362</v>
      </c>
      <c r="D32" s="297" t="s">
        <v>418</v>
      </c>
      <c r="E32" s="297" t="s">
        <v>563</v>
      </c>
      <c r="F32" s="297"/>
      <c r="G32" s="332" t="s">
        <v>564</v>
      </c>
      <c r="H32" s="297"/>
      <c r="I32" s="24"/>
      <c r="J32" s="297"/>
      <c r="K32" s="297"/>
      <c r="L32" s="24"/>
      <c r="M32" s="24"/>
    </row>
    <row r="33" spans="2:13" ht="11.25" customHeight="1" x14ac:dyDescent="0.2">
      <c r="B33" s="302" t="s">
        <v>40</v>
      </c>
      <c r="C33" s="304">
        <v>94.086020000000005</v>
      </c>
      <c r="D33" s="333">
        <v>0.3006909179967</v>
      </c>
      <c r="E33" s="355">
        <f t="shared" ref="E33:E38" si="5">C33*D33</f>
        <v>28.290811724455878</v>
      </c>
      <c r="F33" s="304">
        <f t="shared" ref="F33:F38" si="6">$K$10</f>
        <v>27.9</v>
      </c>
      <c r="G33" s="358">
        <f t="shared" ref="G33:G38" si="7">E33*F33/1000000</f>
        <v>7.8931364711231895E-4</v>
      </c>
      <c r="H33" s="341"/>
      <c r="I33" s="24"/>
      <c r="J33" s="53"/>
      <c r="K33" s="313"/>
      <c r="L33" s="53"/>
      <c r="M33" s="342"/>
    </row>
    <row r="34" spans="2:13" ht="11.25" customHeight="1" x14ac:dyDescent="0.2">
      <c r="B34" s="302" t="s">
        <v>383</v>
      </c>
      <c r="C34" s="304">
        <v>19718.99265</v>
      </c>
      <c r="D34" s="333">
        <v>1.0023030599889999E-2</v>
      </c>
      <c r="E34" s="355">
        <f t="shared" si="5"/>
        <v>197.64406672995599</v>
      </c>
      <c r="F34" s="304">
        <f t="shared" si="6"/>
        <v>27.9</v>
      </c>
      <c r="G34" s="358">
        <f t="shared" si="7"/>
        <v>5.5142694617657719E-3</v>
      </c>
      <c r="H34" s="341"/>
      <c r="I34" s="24"/>
      <c r="J34" s="53"/>
      <c r="K34" s="313"/>
      <c r="L34" s="53"/>
      <c r="M34" s="342"/>
    </row>
    <row r="35" spans="2:13" ht="11.25" customHeight="1" x14ac:dyDescent="0.2">
      <c r="B35" s="302" t="s">
        <v>403</v>
      </c>
      <c r="C35" s="304">
        <v>2477.4286499999998</v>
      </c>
      <c r="D35" s="333">
        <v>1.0023030599889999E-2</v>
      </c>
      <c r="E35" s="355">
        <f t="shared" si="5"/>
        <v>24.83134316799417</v>
      </c>
      <c r="F35" s="304">
        <f t="shared" si="6"/>
        <v>27.9</v>
      </c>
      <c r="G35" s="358">
        <f t="shared" si="7"/>
        <v>6.927944743870373E-4</v>
      </c>
      <c r="H35" s="341"/>
      <c r="I35" s="24"/>
      <c r="J35" s="53"/>
      <c r="K35" s="313"/>
      <c r="L35" s="53"/>
      <c r="M35" s="342"/>
    </row>
    <row r="36" spans="2:13" ht="11.25" customHeight="1" x14ac:dyDescent="0.2">
      <c r="B36" s="302" t="s">
        <v>526</v>
      </c>
      <c r="C36" s="304">
        <v>6645.3969800000004</v>
      </c>
      <c r="D36" s="333">
        <v>1.0023030599889999E-2</v>
      </c>
      <c r="E36" s="355">
        <f t="shared" si="5"/>
        <v>66.60701727895659</v>
      </c>
      <c r="F36" s="304">
        <f t="shared" si="6"/>
        <v>27.9</v>
      </c>
      <c r="G36" s="358">
        <f t="shared" si="7"/>
        <v>1.8583357820828887E-3</v>
      </c>
      <c r="H36" s="341"/>
      <c r="I36" s="24"/>
      <c r="J36" s="53"/>
      <c r="K36" s="313"/>
      <c r="L36" s="53"/>
      <c r="M36" s="342"/>
    </row>
    <row r="37" spans="2:13" ht="11.25" customHeight="1" x14ac:dyDescent="0.2">
      <c r="B37" s="302" t="s">
        <v>63</v>
      </c>
      <c r="C37" s="304">
        <v>73811.31078</v>
      </c>
      <c r="D37" s="333">
        <v>4.7477513367900001E-3</v>
      </c>
      <c r="E37" s="355">
        <f t="shared" si="5"/>
        <v>350.43774942596713</v>
      </c>
      <c r="F37" s="304">
        <f t="shared" si="6"/>
        <v>27.9</v>
      </c>
      <c r="G37" s="358">
        <f t="shared" si="7"/>
        <v>9.7772132089844824E-3</v>
      </c>
      <c r="H37" s="341"/>
      <c r="I37" s="24"/>
      <c r="J37" s="53"/>
      <c r="K37" s="313"/>
      <c r="L37" s="53"/>
      <c r="M37" s="342"/>
    </row>
    <row r="38" spans="2:13" ht="11.25" customHeight="1" x14ac:dyDescent="0.2">
      <c r="B38" s="302" t="s">
        <v>103</v>
      </c>
      <c r="C38" s="304">
        <v>6903.1058000000003</v>
      </c>
      <c r="D38" s="333">
        <v>0.28486508020740003</v>
      </c>
      <c r="E38" s="355">
        <f t="shared" si="5"/>
        <v>1966.4537873971685</v>
      </c>
      <c r="F38" s="304">
        <f t="shared" si="6"/>
        <v>27.9</v>
      </c>
      <c r="G38" s="358">
        <f t="shared" si="7"/>
        <v>5.4864060668380996E-2</v>
      </c>
      <c r="H38" s="341"/>
      <c r="I38" s="24"/>
      <c r="J38" s="53"/>
      <c r="K38" s="313"/>
      <c r="L38" s="53"/>
      <c r="M38" s="342"/>
    </row>
    <row r="39" spans="2:13" ht="12" customHeight="1" x14ac:dyDescent="0.2">
      <c r="B39" s="154"/>
      <c r="C39" s="155"/>
      <c r="D39" s="155"/>
      <c r="E39" s="155"/>
      <c r="F39" s="370" t="s">
        <v>95</v>
      </c>
      <c r="G39" s="371">
        <f>SUM(G33:G38)</f>
        <v>7.3495987242713501E-2</v>
      </c>
      <c r="H39" s="24"/>
      <c r="I39" s="24"/>
      <c r="J39" s="53"/>
      <c r="K39" s="351"/>
      <c r="L39" s="24"/>
      <c r="M39" s="352"/>
    </row>
    <row r="40" spans="2:13" ht="12" customHeight="1" x14ac:dyDescent="0.2"/>
    <row r="41" spans="2:13" ht="11.25" customHeight="1" x14ac:dyDescent="0.2"/>
    <row r="42" spans="2:13" ht="11.25" customHeight="1" x14ac:dyDescent="0.2"/>
    <row r="43" spans="2:13" ht="21" customHeight="1" x14ac:dyDescent="0.4">
      <c r="B43" s="373" t="s">
        <v>575</v>
      </c>
      <c r="C43" s="375"/>
      <c r="D43" s="377"/>
      <c r="E43" s="373"/>
      <c r="F43" s="24"/>
      <c r="G43" s="24"/>
    </row>
    <row r="44" spans="2:13" ht="13.5" customHeight="1" x14ac:dyDescent="0.25">
      <c r="B44" s="288"/>
      <c r="C44" s="24"/>
      <c r="D44" s="289"/>
      <c r="E44" s="288"/>
      <c r="F44" s="24"/>
      <c r="G44" s="24"/>
    </row>
    <row r="45" spans="2:13" ht="12" customHeight="1" x14ac:dyDescent="0.2">
      <c r="B45" s="26"/>
      <c r="C45" s="382" t="s">
        <v>356</v>
      </c>
      <c r="D45" s="382" t="s">
        <v>356</v>
      </c>
      <c r="E45" s="382" t="s">
        <v>356</v>
      </c>
      <c r="F45" s="382" t="s">
        <v>356</v>
      </c>
      <c r="G45" s="297"/>
    </row>
    <row r="46" spans="2:13" ht="11.25" customHeight="1" x14ac:dyDescent="0.2">
      <c r="B46" s="49"/>
      <c r="C46" s="383" t="s">
        <v>576</v>
      </c>
      <c r="D46" s="383" t="s">
        <v>577</v>
      </c>
      <c r="E46" s="383" t="s">
        <v>578</v>
      </c>
      <c r="F46" s="383" t="s">
        <v>95</v>
      </c>
      <c r="G46" s="297"/>
    </row>
    <row r="47" spans="2:13" ht="11.25" customHeight="1" x14ac:dyDescent="0.2">
      <c r="B47" s="384" t="s">
        <v>20</v>
      </c>
      <c r="C47" s="383" t="s">
        <v>579</v>
      </c>
      <c r="D47" s="383" t="s">
        <v>580</v>
      </c>
      <c r="E47" s="383" t="s">
        <v>581</v>
      </c>
      <c r="F47" s="383" t="s">
        <v>582</v>
      </c>
      <c r="G47" s="297"/>
    </row>
    <row r="48" spans="2:13" ht="11.25" customHeight="1" x14ac:dyDescent="0.2">
      <c r="B48" s="385" t="s">
        <v>40</v>
      </c>
      <c r="C48" s="386">
        <f t="shared" ref="C48:C52" si="8">G9</f>
        <v>8.8869497395292294E-3</v>
      </c>
      <c r="D48" s="387">
        <f t="shared" ref="D48:D53" si="9">G20</f>
        <v>3.8616958003882275E-5</v>
      </c>
      <c r="E48" s="387">
        <f t="shared" ref="E48:E53" si="10">G33</f>
        <v>7.8931364711231895E-4</v>
      </c>
      <c r="F48" s="387">
        <f t="shared" ref="F48:F53" si="11">C48+D48+E48</f>
        <v>9.7148803446454306E-3</v>
      </c>
      <c r="G48" s="391"/>
    </row>
    <row r="49" spans="2:7" ht="11.25" customHeight="1" x14ac:dyDescent="0.2">
      <c r="B49" s="385" t="s">
        <v>383</v>
      </c>
      <c r="C49" s="386">
        <f t="shared" si="8"/>
        <v>1.4411416644002255</v>
      </c>
      <c r="D49" s="387">
        <f t="shared" si="9"/>
        <v>3.2374098130366785E-3</v>
      </c>
      <c r="E49" s="387">
        <f t="shared" si="10"/>
        <v>5.5142694617657719E-3</v>
      </c>
      <c r="F49" s="387">
        <f t="shared" si="11"/>
        <v>1.4498933436750281</v>
      </c>
      <c r="G49" s="391"/>
    </row>
    <row r="50" spans="2:7" ht="11.25" customHeight="1" x14ac:dyDescent="0.2">
      <c r="B50" s="385" t="s">
        <v>403</v>
      </c>
      <c r="C50" s="386">
        <f t="shared" si="8"/>
        <v>0.17897283404170425</v>
      </c>
      <c r="D50" s="387">
        <f t="shared" si="9"/>
        <v>4.067374010917444E-4</v>
      </c>
      <c r="E50" s="387">
        <f t="shared" si="10"/>
        <v>6.927944743870373E-4</v>
      </c>
      <c r="F50" s="387">
        <f t="shared" si="11"/>
        <v>0.18007236591718301</v>
      </c>
      <c r="G50" s="391"/>
    </row>
    <row r="51" spans="2:7" ht="11.25" customHeight="1" x14ac:dyDescent="0.2">
      <c r="B51" s="385" t="s">
        <v>526</v>
      </c>
      <c r="C51" s="386">
        <f t="shared" si="8"/>
        <v>0.41895087257502089</v>
      </c>
      <c r="D51" s="387">
        <f t="shared" si="9"/>
        <v>1.0910229430293086E-3</v>
      </c>
      <c r="E51" s="387">
        <f t="shared" si="10"/>
        <v>1.8583357820828887E-3</v>
      </c>
      <c r="F51" s="387">
        <f t="shared" si="11"/>
        <v>0.4219002313001331</v>
      </c>
      <c r="G51" s="391"/>
    </row>
    <row r="52" spans="2:7" ht="11.25" customHeight="1" x14ac:dyDescent="0.2">
      <c r="B52" s="385" t="s">
        <v>63</v>
      </c>
      <c r="C52" s="386">
        <f t="shared" si="8"/>
        <v>3.9126454720506394</v>
      </c>
      <c r="D52" s="387">
        <f t="shared" si="9"/>
        <v>1.913390111865781E-3</v>
      </c>
      <c r="E52" s="387">
        <f t="shared" si="10"/>
        <v>9.7772132089844824E-3</v>
      </c>
      <c r="F52" s="387">
        <f t="shared" si="11"/>
        <v>3.9243360753714898</v>
      </c>
      <c r="G52" s="391"/>
    </row>
    <row r="53" spans="2:7" ht="11.25" customHeight="1" x14ac:dyDescent="0.2">
      <c r="B53" s="385" t="s">
        <v>103</v>
      </c>
      <c r="C53" s="397">
        <v>0</v>
      </c>
      <c r="D53" s="387">
        <f t="shared" si="9"/>
        <v>7.1578917861256919E-3</v>
      </c>
      <c r="E53" s="387">
        <f t="shared" si="10"/>
        <v>5.4864060668380996E-2</v>
      </c>
      <c r="F53" s="387">
        <f t="shared" si="11"/>
        <v>6.2021952454506687E-2</v>
      </c>
      <c r="G53" s="391"/>
    </row>
    <row r="54" spans="2:7" ht="12" customHeight="1" x14ac:dyDescent="0.2">
      <c r="B54" s="154"/>
      <c r="C54" s="155"/>
      <c r="D54" s="155"/>
      <c r="E54" s="398" t="s">
        <v>95</v>
      </c>
      <c r="F54" s="400">
        <f>SUM(F48:F53)</f>
        <v>6.0479388490629864</v>
      </c>
      <c r="G54" s="401"/>
    </row>
    <row r="55" spans="2:7" ht="12" customHeight="1" thickTop="1" thickBot="1" x14ac:dyDescent="0.25"/>
    <row r="56" spans="2:7" ht="11.25" customHeight="1" thickTop="1" x14ac:dyDescent="0.2">
      <c r="B56" s="1876"/>
      <c r="C56" s="1877" t="s">
        <v>3</v>
      </c>
      <c r="D56" s="1877" t="s">
        <v>5</v>
      </c>
      <c r="E56" s="1878" t="s">
        <v>4</v>
      </c>
      <c r="F56" s="1878" t="s">
        <v>95</v>
      </c>
    </row>
    <row r="57" spans="2:7" ht="11.25" customHeight="1" thickBot="1" x14ac:dyDescent="0.25">
      <c r="B57" s="1879" t="s">
        <v>1747</v>
      </c>
      <c r="C57" s="1880" t="s">
        <v>1748</v>
      </c>
      <c r="D57" s="1880" t="s">
        <v>1748</v>
      </c>
      <c r="E57" s="1881" t="s">
        <v>1748</v>
      </c>
      <c r="F57" s="1881" t="s">
        <v>1748</v>
      </c>
    </row>
    <row r="58" spans="2:7" ht="11.25" customHeight="1" x14ac:dyDescent="0.2">
      <c r="B58" s="1882" t="s">
        <v>40</v>
      </c>
      <c r="C58" s="1883">
        <f t="shared" ref="C58:F58" si="12">C48</f>
        <v>8.8869497395292294E-3</v>
      </c>
      <c r="D58" s="1883">
        <f t="shared" si="12"/>
        <v>3.8616958003882275E-5</v>
      </c>
      <c r="E58" s="1884">
        <f t="shared" si="12"/>
        <v>7.8931364711231895E-4</v>
      </c>
      <c r="F58" s="1884">
        <f t="shared" si="12"/>
        <v>9.7148803446454306E-3</v>
      </c>
    </row>
    <row r="59" spans="2:7" ht="11.25" customHeight="1" x14ac:dyDescent="0.2">
      <c r="B59" s="1885" t="s">
        <v>141</v>
      </c>
      <c r="C59" s="1886">
        <f t="shared" ref="C59:F59" si="13">C52+C51</f>
        <v>4.3315963446256607</v>
      </c>
      <c r="D59" s="1886">
        <f t="shared" si="13"/>
        <v>3.0044130548950894E-3</v>
      </c>
      <c r="E59" s="1887">
        <f t="shared" si="13"/>
        <v>1.1635548991067371E-2</v>
      </c>
      <c r="F59" s="1887">
        <f t="shared" si="13"/>
        <v>4.3462363066716225</v>
      </c>
    </row>
    <row r="60" spans="2:7" ht="11.25" customHeight="1" x14ac:dyDescent="0.2">
      <c r="B60" s="1885" t="s">
        <v>74</v>
      </c>
      <c r="C60" s="1886">
        <f t="shared" ref="C60:F60" si="14">C49+C50</f>
        <v>1.6201144984419298</v>
      </c>
      <c r="D60" s="1886">
        <f t="shared" si="14"/>
        <v>3.6441472141284228E-3</v>
      </c>
      <c r="E60" s="1887">
        <f t="shared" si="14"/>
        <v>6.2070639361528094E-3</v>
      </c>
      <c r="F60" s="1887">
        <f t="shared" si="14"/>
        <v>1.6299657095922111</v>
      </c>
    </row>
    <row r="61" spans="2:7" ht="11.25" customHeight="1" thickBot="1" x14ac:dyDescent="0.25">
      <c r="B61" s="1888" t="s">
        <v>103</v>
      </c>
      <c r="C61" s="1889">
        <f t="shared" ref="C61:F61" si="15">C53</f>
        <v>0</v>
      </c>
      <c r="D61" s="1889">
        <f t="shared" si="15"/>
        <v>7.1578917861256919E-3</v>
      </c>
      <c r="E61" s="1890">
        <f t="shared" si="15"/>
        <v>5.4864060668380996E-2</v>
      </c>
      <c r="F61" s="1890">
        <f t="shared" si="15"/>
        <v>6.2021952454506687E-2</v>
      </c>
    </row>
    <row r="62" spans="2:7" ht="11.25" customHeight="1" thickBot="1" x14ac:dyDescent="0.25">
      <c r="B62" s="1891"/>
      <c r="C62" s="1892"/>
      <c r="D62" s="1892"/>
      <c r="E62" s="1893" t="s">
        <v>95</v>
      </c>
      <c r="F62" s="1894">
        <f>SUM(F58:F61)</f>
        <v>6.0479388490629864</v>
      </c>
    </row>
    <row r="63" spans="2:7" ht="11.25" customHeight="1" thickTop="1" x14ac:dyDescent="0.2">
      <c r="B63" s="161"/>
    </row>
    <row r="64" spans="2:7"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1">
    <mergeCell ref="J7:K7"/>
  </mergeCells>
  <pageMargins left="0.7" right="0.7" top="0.75" bottom="0.75" header="0" footer="0"/>
  <pageSetup orientation="landscape"/>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6.83203125" defaultRowHeight="15" customHeight="1" x14ac:dyDescent="0.2"/>
  <cols>
    <col min="1" max="1" width="8" customWidth="1"/>
    <col min="2" max="2" width="23.1640625" customWidth="1"/>
    <col min="3" max="3" width="19.6640625" customWidth="1"/>
    <col min="4" max="4" width="23.1640625" customWidth="1"/>
    <col min="5" max="5" width="15.83203125" customWidth="1"/>
    <col min="6" max="6" width="18.5" customWidth="1"/>
    <col min="7" max="7" width="15.6640625" customWidth="1"/>
    <col min="8" max="9" width="8" customWidth="1"/>
    <col min="10" max="10" width="11.5" customWidth="1"/>
    <col min="11" max="26" width="8" customWidth="1"/>
  </cols>
  <sheetData>
    <row r="1" spans="1:26" ht="33" customHeight="1" x14ac:dyDescent="0.45">
      <c r="A1" s="11" t="s">
        <v>586</v>
      </c>
      <c r="B1" s="13"/>
      <c r="C1" s="24"/>
      <c r="D1" s="24"/>
      <c r="E1" s="24"/>
      <c r="F1" s="16"/>
      <c r="G1" s="24"/>
      <c r="H1" s="24"/>
      <c r="I1" s="24"/>
      <c r="J1" s="24"/>
      <c r="K1" s="24"/>
      <c r="L1" s="24"/>
      <c r="M1" s="24"/>
      <c r="N1" s="24"/>
      <c r="O1" s="24"/>
      <c r="P1" s="24"/>
      <c r="Q1" s="24"/>
      <c r="R1" s="24"/>
      <c r="S1" s="24"/>
      <c r="T1" s="24"/>
      <c r="U1" s="24"/>
      <c r="V1" s="24"/>
      <c r="W1" s="24"/>
      <c r="X1" s="24"/>
      <c r="Y1" s="24"/>
      <c r="Z1" s="24"/>
    </row>
    <row r="2" spans="1:26" ht="66.75" customHeight="1" x14ac:dyDescent="0.2"/>
    <row r="3" spans="1:26" ht="12" customHeight="1" x14ac:dyDescent="0.2"/>
    <row r="4" spans="1:26" ht="21.75" customHeight="1" x14ac:dyDescent="0.4">
      <c r="B4" s="423" t="s">
        <v>589</v>
      </c>
      <c r="C4" s="425"/>
      <c r="D4" s="427"/>
      <c r="E4" s="429">
        <v>2006</v>
      </c>
      <c r="F4" s="31"/>
      <c r="G4" s="28"/>
      <c r="H4" s="24"/>
      <c r="I4" s="24"/>
      <c r="J4" s="24"/>
      <c r="K4" s="24"/>
      <c r="L4" s="24"/>
      <c r="M4" s="24"/>
    </row>
    <row r="5" spans="1:26" ht="12" customHeight="1" x14ac:dyDescent="0.2">
      <c r="B5" s="49"/>
      <c r="C5" s="24"/>
      <c r="D5" s="24"/>
      <c r="E5" s="24"/>
      <c r="F5" s="24"/>
      <c r="G5" s="86"/>
      <c r="H5" s="24"/>
      <c r="I5" s="24"/>
      <c r="J5" s="1769" t="s">
        <v>1</v>
      </c>
      <c r="K5" s="1759"/>
      <c r="L5" s="24"/>
      <c r="M5" s="297"/>
    </row>
    <row r="6" spans="1:26" ht="11.25" customHeight="1" x14ac:dyDescent="0.2">
      <c r="B6" s="432"/>
      <c r="C6" s="433" t="s">
        <v>351</v>
      </c>
      <c r="D6" s="433" t="s">
        <v>354</v>
      </c>
      <c r="E6" s="433" t="s">
        <v>355</v>
      </c>
      <c r="F6" s="433" t="s">
        <v>356</v>
      </c>
      <c r="G6" s="434" t="s">
        <v>356</v>
      </c>
      <c r="H6" s="24"/>
      <c r="I6" s="24"/>
      <c r="J6" s="235"/>
      <c r="K6" s="235"/>
      <c r="L6" s="24"/>
      <c r="M6" s="297"/>
      <c r="N6" s="24"/>
    </row>
    <row r="7" spans="1:26" ht="12" customHeight="1" x14ac:dyDescent="0.2">
      <c r="B7" s="435" t="s">
        <v>20</v>
      </c>
      <c r="C7" s="436" t="s">
        <v>362</v>
      </c>
      <c r="D7" s="436" t="s">
        <v>363</v>
      </c>
      <c r="E7" s="436" t="s">
        <v>364</v>
      </c>
      <c r="F7" s="436" t="s">
        <v>365</v>
      </c>
      <c r="G7" s="437" t="s">
        <v>591</v>
      </c>
      <c r="H7" s="297"/>
      <c r="I7" s="24"/>
      <c r="J7" s="240" t="s">
        <v>433</v>
      </c>
      <c r="K7" s="241">
        <f>Summary!E4</f>
        <v>1</v>
      </c>
      <c r="L7" s="24"/>
      <c r="M7" s="297"/>
      <c r="N7" s="24"/>
    </row>
    <row r="8" spans="1:26" ht="11.25" customHeight="1" x14ac:dyDescent="0.2">
      <c r="B8" s="438" t="s">
        <v>40</v>
      </c>
      <c r="C8" s="439">
        <v>951.31425000000002</v>
      </c>
      <c r="D8" s="440">
        <v>56.792727272727269</v>
      </c>
      <c r="E8" s="441">
        <v>1</v>
      </c>
      <c r="F8" s="443">
        <f t="shared" ref="F8:F14" si="0">C8*1000*D8*E8/2000</f>
        <v>27013.865375454545</v>
      </c>
      <c r="G8" s="445">
        <f t="shared" ref="G8:G14" si="1">F8*(44/12)*0.90718/1000000</f>
        <v>8.9856940768117802E-2</v>
      </c>
      <c r="H8" s="53"/>
      <c r="I8" s="24"/>
      <c r="J8" s="240" t="s">
        <v>438</v>
      </c>
      <c r="K8" s="241">
        <f>Summary!E5</f>
        <v>27.9</v>
      </c>
      <c r="L8" s="53"/>
      <c r="M8" s="313"/>
      <c r="N8" s="24"/>
    </row>
    <row r="9" spans="1:26" ht="11.25" customHeight="1" x14ac:dyDescent="0.2">
      <c r="B9" s="438" t="s">
        <v>383</v>
      </c>
      <c r="C9" s="304">
        <v>10493.920109999999</v>
      </c>
      <c r="D9" s="305">
        <v>43.942731277533035</v>
      </c>
      <c r="E9" s="306">
        <v>1</v>
      </c>
      <c r="F9" s="310">
        <f t="shared" si="0"/>
        <v>230565.75572081495</v>
      </c>
      <c r="G9" s="451">
        <f t="shared" si="1"/>
        <v>0.76693702167429922</v>
      </c>
      <c r="H9" s="53"/>
      <c r="I9" s="24"/>
      <c r="J9" s="240" t="s">
        <v>444</v>
      </c>
      <c r="K9" s="241">
        <f>Summary!E6</f>
        <v>273</v>
      </c>
      <c r="L9" s="53"/>
      <c r="M9" s="313"/>
      <c r="N9" s="24"/>
    </row>
    <row r="10" spans="1:26" ht="11.25" customHeight="1" x14ac:dyDescent="0.2">
      <c r="B10" s="438" t="s">
        <v>403</v>
      </c>
      <c r="C10" s="304">
        <v>353.45787999999999</v>
      </c>
      <c r="D10" s="305">
        <v>43.436123348017617</v>
      </c>
      <c r="E10" s="306">
        <v>1</v>
      </c>
      <c r="F10" s="310">
        <f t="shared" si="0"/>
        <v>7676.4200370044045</v>
      </c>
      <c r="G10" s="451">
        <f t="shared" si="1"/>
        <v>2.5534280673622067E-2</v>
      </c>
      <c r="H10" s="53"/>
      <c r="I10" s="24"/>
      <c r="J10" s="240" t="s">
        <v>447</v>
      </c>
      <c r="K10" s="247">
        <f>Summary!E7</f>
        <v>24300</v>
      </c>
      <c r="L10" s="53"/>
      <c r="M10" s="313"/>
      <c r="N10" s="24"/>
    </row>
    <row r="11" spans="1:26" ht="11.25" customHeight="1" x14ac:dyDescent="0.2">
      <c r="B11" s="438" t="s">
        <v>526</v>
      </c>
      <c r="C11" s="304">
        <v>1172.7171000000001</v>
      </c>
      <c r="D11" s="305">
        <v>37.905939726350034</v>
      </c>
      <c r="E11" s="306">
        <v>1</v>
      </c>
      <c r="F11" s="310">
        <f t="shared" si="0"/>
        <v>22226.471854330004</v>
      </c>
      <c r="G11" s="451">
        <f t="shared" si="1"/>
        <v>7.3932506034974005E-2</v>
      </c>
      <c r="H11" s="53"/>
      <c r="I11" s="24"/>
      <c r="J11" s="240"/>
      <c r="K11" s="247"/>
      <c r="L11" s="53"/>
      <c r="M11" s="313"/>
      <c r="N11" s="24"/>
    </row>
    <row r="12" spans="1:26" ht="11.25" customHeight="1" x14ac:dyDescent="0.2">
      <c r="B12" s="438" t="s">
        <v>601</v>
      </c>
      <c r="C12" s="304">
        <v>170.91419000000002</v>
      </c>
      <c r="D12" s="305">
        <v>42.62265</v>
      </c>
      <c r="E12" s="306">
        <v>1</v>
      </c>
      <c r="F12" s="310">
        <f t="shared" si="0"/>
        <v>3642.4078502017505</v>
      </c>
      <c r="G12" s="451">
        <f t="shared" si="1"/>
        <v>1.2115838363002087E-2</v>
      </c>
      <c r="H12" s="53"/>
      <c r="I12" s="24"/>
      <c r="J12" s="53"/>
      <c r="K12" s="313"/>
      <c r="L12" s="53"/>
      <c r="M12" s="313"/>
      <c r="N12" s="24"/>
    </row>
    <row r="13" spans="1:26" ht="11.25" customHeight="1" x14ac:dyDescent="0.2">
      <c r="B13" s="438" t="s">
        <v>392</v>
      </c>
      <c r="C13" s="304">
        <v>301.52722</v>
      </c>
      <c r="D13" s="305">
        <v>47.33480176211453</v>
      </c>
      <c r="E13" s="306">
        <v>1</v>
      </c>
      <c r="F13" s="310">
        <f t="shared" si="0"/>
        <v>7136.3655922907474</v>
      </c>
      <c r="G13" s="451">
        <f t="shared" si="1"/>
        <v>2.3737883172719174E-2</v>
      </c>
      <c r="H13" s="53"/>
      <c r="I13" s="24"/>
      <c r="J13" s="53"/>
      <c r="K13" s="313"/>
      <c r="L13" s="53"/>
      <c r="M13" s="313"/>
      <c r="N13" s="24"/>
    </row>
    <row r="14" spans="1:26" ht="12" customHeight="1" x14ac:dyDescent="0.2">
      <c r="B14" s="438" t="s">
        <v>63</v>
      </c>
      <c r="C14" s="344">
        <v>65040.950519999999</v>
      </c>
      <c r="D14" s="460">
        <v>31.872246696035241</v>
      </c>
      <c r="E14" s="461">
        <v>1</v>
      </c>
      <c r="F14" s="463">
        <f t="shared" si="0"/>
        <v>1036500.6101590306</v>
      </c>
      <c r="G14" s="464">
        <f t="shared" si="1"/>
        <v>3.4477396195882544</v>
      </c>
      <c r="H14" s="53"/>
      <c r="I14" s="24"/>
      <c r="J14" s="53"/>
      <c r="K14" s="313"/>
      <c r="L14" s="53"/>
      <c r="M14" s="313"/>
      <c r="N14" s="24"/>
    </row>
    <row r="15" spans="1:26" ht="12" customHeight="1" x14ac:dyDescent="0.2">
      <c r="B15" s="466"/>
      <c r="C15" s="467"/>
      <c r="D15" s="467"/>
      <c r="E15" s="467"/>
      <c r="F15" s="468" t="s">
        <v>95</v>
      </c>
      <c r="G15" s="470">
        <f>SUM(G8:G14)</f>
        <v>4.4398540902749888</v>
      </c>
      <c r="H15" s="24"/>
      <c r="I15" s="24"/>
      <c r="J15" s="24"/>
      <c r="K15" s="24"/>
      <c r="L15" s="24"/>
      <c r="M15" s="24"/>
      <c r="N15" s="24"/>
    </row>
    <row r="16" spans="1:26" ht="11.25" customHeight="1" x14ac:dyDescent="0.2"/>
    <row r="17" spans="2:13" ht="12" customHeight="1" x14ac:dyDescent="0.2"/>
    <row r="18" spans="2:13" ht="21.75" customHeight="1" x14ac:dyDescent="0.4">
      <c r="B18" s="423" t="s">
        <v>602</v>
      </c>
      <c r="C18" s="425"/>
      <c r="D18" s="425"/>
      <c r="E18" s="429">
        <v>2006</v>
      </c>
      <c r="F18" s="31"/>
      <c r="G18" s="28"/>
      <c r="H18" s="24"/>
      <c r="I18" s="24"/>
      <c r="J18" s="24"/>
      <c r="K18" s="24"/>
      <c r="L18" s="24"/>
      <c r="M18" s="24"/>
    </row>
    <row r="19" spans="2:13" ht="12" customHeight="1" x14ac:dyDescent="0.2">
      <c r="B19" s="49"/>
      <c r="C19" s="24"/>
      <c r="D19" s="24"/>
      <c r="E19" s="24"/>
      <c r="F19" s="24"/>
      <c r="G19" s="86"/>
      <c r="H19" s="24"/>
      <c r="I19" s="24"/>
      <c r="J19" s="24"/>
      <c r="K19" s="24"/>
      <c r="L19" s="24"/>
      <c r="M19" s="297"/>
    </row>
    <row r="20" spans="2:13" ht="11.25" customHeight="1" x14ac:dyDescent="0.2">
      <c r="B20" s="432"/>
      <c r="C20" s="433" t="s">
        <v>351</v>
      </c>
      <c r="D20" s="433" t="s">
        <v>354</v>
      </c>
      <c r="E20" s="433" t="s">
        <v>460</v>
      </c>
      <c r="F20" s="433" t="s">
        <v>414</v>
      </c>
      <c r="G20" s="434" t="s">
        <v>356</v>
      </c>
      <c r="H20" s="24"/>
      <c r="J20" s="24"/>
      <c r="K20" s="297"/>
      <c r="L20" s="24"/>
      <c r="M20" s="297"/>
    </row>
    <row r="21" spans="2:13" ht="12" customHeight="1" x14ac:dyDescent="0.2">
      <c r="B21" s="435" t="s">
        <v>20</v>
      </c>
      <c r="C21" s="436" t="s">
        <v>362</v>
      </c>
      <c r="D21" s="436" t="s">
        <v>603</v>
      </c>
      <c r="E21" s="436" t="s">
        <v>604</v>
      </c>
      <c r="F21" s="436"/>
      <c r="G21" s="437" t="s">
        <v>564</v>
      </c>
      <c r="H21" s="297"/>
      <c r="J21" s="24"/>
      <c r="K21" s="297"/>
      <c r="L21" s="24"/>
      <c r="M21" s="297"/>
    </row>
    <row r="22" spans="2:13" ht="11.25" customHeight="1" x14ac:dyDescent="0.2">
      <c r="B22" s="474" t="s">
        <v>40</v>
      </c>
      <c r="C22" s="439">
        <v>951.31425000000002</v>
      </c>
      <c r="D22" s="475">
        <v>1.5034545899835E-3</v>
      </c>
      <c r="E22" s="476">
        <f t="shared" ref="E22:E29" si="2">C22*D22</f>
        <v>1.4302577756792108</v>
      </c>
      <c r="F22" s="439">
        <f t="shared" ref="F22:F29" si="3">$K$9</f>
        <v>273</v>
      </c>
      <c r="G22" s="445">
        <f t="shared" ref="G22:G29" si="4">E22*F22/1000000</f>
        <v>3.9046037276042455E-4</v>
      </c>
      <c r="H22" s="477"/>
      <c r="J22" s="53"/>
      <c r="K22" s="313"/>
      <c r="L22" s="53"/>
      <c r="M22" s="342"/>
    </row>
    <row r="23" spans="2:13" ht="11.25" customHeight="1" x14ac:dyDescent="0.2">
      <c r="B23" s="302" t="s">
        <v>383</v>
      </c>
      <c r="C23" s="304">
        <v>10493.920109999999</v>
      </c>
      <c r="D23" s="333">
        <v>6.0138183599339984E-4</v>
      </c>
      <c r="E23" s="478">
        <f t="shared" si="2"/>
        <v>6.3108529425198601</v>
      </c>
      <c r="F23" s="304">
        <f t="shared" si="3"/>
        <v>273</v>
      </c>
      <c r="G23" s="451">
        <f t="shared" si="4"/>
        <v>1.7228628533079219E-3</v>
      </c>
      <c r="H23" s="477"/>
      <c r="J23" s="53"/>
      <c r="K23" s="313"/>
      <c r="L23" s="53"/>
      <c r="M23" s="342"/>
    </row>
    <row r="24" spans="2:13" ht="11.25" customHeight="1" x14ac:dyDescent="0.2">
      <c r="B24" s="302" t="s">
        <v>403</v>
      </c>
      <c r="C24" s="304">
        <v>353.45787999999999</v>
      </c>
      <c r="D24" s="333">
        <v>6.0138183599339984E-4</v>
      </c>
      <c r="E24" s="478">
        <f t="shared" si="2"/>
        <v>0.21256314882073479</v>
      </c>
      <c r="F24" s="304">
        <f t="shared" si="3"/>
        <v>273</v>
      </c>
      <c r="G24" s="451">
        <f t="shared" si="4"/>
        <v>5.8029739628060596E-5</v>
      </c>
      <c r="H24" s="477"/>
      <c r="J24" s="53"/>
      <c r="K24" s="313"/>
      <c r="L24" s="53"/>
      <c r="M24" s="342"/>
    </row>
    <row r="25" spans="2:13" ht="11.25" customHeight="1" x14ac:dyDescent="0.2">
      <c r="B25" s="302" t="s">
        <v>526</v>
      </c>
      <c r="C25" s="304">
        <v>1172.7171000000001</v>
      </c>
      <c r="D25" s="333">
        <v>6.0138183599339984E-4</v>
      </c>
      <c r="E25" s="478">
        <f t="shared" si="2"/>
        <v>0.70525076269885556</v>
      </c>
      <c r="F25" s="304">
        <f t="shared" si="3"/>
        <v>273</v>
      </c>
      <c r="G25" s="451">
        <f t="shared" si="4"/>
        <v>1.9253345821678759E-4</v>
      </c>
      <c r="H25" s="477"/>
      <c r="J25" s="53"/>
      <c r="K25" s="313"/>
      <c r="L25" s="53"/>
      <c r="M25" s="342"/>
    </row>
    <row r="26" spans="2:13" ht="11.25" customHeight="1" x14ac:dyDescent="0.2">
      <c r="B26" s="302" t="s">
        <v>601</v>
      </c>
      <c r="C26" s="304">
        <v>178.19621000000001</v>
      </c>
      <c r="D26" s="333">
        <v>6.0138183599339984E-4</v>
      </c>
      <c r="E26" s="478">
        <f t="shared" si="2"/>
        <v>0.10716396393686545</v>
      </c>
      <c r="F26" s="304">
        <f t="shared" si="3"/>
        <v>273</v>
      </c>
      <c r="G26" s="451">
        <f t="shared" si="4"/>
        <v>2.9255762154764268E-5</v>
      </c>
      <c r="H26" s="477"/>
      <c r="J26" s="53"/>
      <c r="K26" s="313"/>
      <c r="L26" s="53"/>
      <c r="M26" s="342"/>
    </row>
    <row r="27" spans="2:13" ht="11.25" customHeight="1" x14ac:dyDescent="0.2">
      <c r="B27" s="302" t="s">
        <v>392</v>
      </c>
      <c r="C27" s="304">
        <v>301.52722</v>
      </c>
      <c r="D27" s="333">
        <v>6.0138183599339984E-4</v>
      </c>
      <c r="E27" s="478">
        <f t="shared" si="2"/>
        <v>0.18133299316558579</v>
      </c>
      <c r="F27" s="304">
        <f t="shared" si="3"/>
        <v>273</v>
      </c>
      <c r="G27" s="451">
        <f t="shared" si="4"/>
        <v>4.9503907134204921E-5</v>
      </c>
      <c r="H27" s="477"/>
      <c r="J27" s="53"/>
      <c r="K27" s="313"/>
      <c r="L27" s="53"/>
      <c r="M27" s="342"/>
    </row>
    <row r="28" spans="2:13" ht="11.25" customHeight="1" x14ac:dyDescent="0.2">
      <c r="B28" s="302" t="s">
        <v>63</v>
      </c>
      <c r="C28" s="304">
        <v>65040.950519999999</v>
      </c>
      <c r="D28" s="333">
        <v>9.4955026735800017E-5</v>
      </c>
      <c r="E28" s="478">
        <f t="shared" si="2"/>
        <v>6.1759651955484456</v>
      </c>
      <c r="F28" s="304">
        <f t="shared" si="3"/>
        <v>273</v>
      </c>
      <c r="G28" s="451">
        <f t="shared" si="4"/>
        <v>1.6860384983847258E-3</v>
      </c>
      <c r="H28" s="477"/>
      <c r="J28" s="53"/>
      <c r="K28" s="313"/>
      <c r="L28" s="53"/>
      <c r="M28" s="342"/>
    </row>
    <row r="29" spans="2:13" ht="11.25" customHeight="1" x14ac:dyDescent="0.2">
      <c r="B29" s="302" t="s">
        <v>103</v>
      </c>
      <c r="C29" s="304">
        <v>2101.198550000001</v>
      </c>
      <c r="D29" s="333">
        <v>3.7982010694320003E-3</v>
      </c>
      <c r="E29" s="478">
        <f t="shared" si="2"/>
        <v>7.9807745796989717</v>
      </c>
      <c r="F29" s="304">
        <f t="shared" si="3"/>
        <v>273</v>
      </c>
      <c r="G29" s="451">
        <f t="shared" si="4"/>
        <v>2.1787514602578193E-3</v>
      </c>
      <c r="H29" s="477"/>
      <c r="J29" s="53"/>
      <c r="K29" s="313"/>
      <c r="L29" s="53"/>
      <c r="M29" s="342"/>
    </row>
    <row r="30" spans="2:13" ht="12" customHeight="1" x14ac:dyDescent="0.2">
      <c r="B30" s="154"/>
      <c r="C30" s="483"/>
      <c r="D30" s="155"/>
      <c r="E30" s="155"/>
      <c r="F30" s="484" t="s">
        <v>95</v>
      </c>
      <c r="G30" s="485">
        <f>SUM(G22:G29)</f>
        <v>6.3074360518447087E-3</v>
      </c>
      <c r="H30" s="24"/>
      <c r="J30" s="53"/>
      <c r="K30" s="351"/>
      <c r="L30" s="53"/>
      <c r="M30" s="352"/>
    </row>
    <row r="31" spans="2:13" ht="12" customHeight="1" x14ac:dyDescent="0.2">
      <c r="J31" s="24"/>
      <c r="K31" s="24"/>
      <c r="L31" s="24"/>
      <c r="M31" s="24"/>
    </row>
    <row r="32" spans="2:13" ht="12" customHeight="1" x14ac:dyDescent="0.2"/>
    <row r="33" spans="2:13" ht="21.75" customHeight="1" x14ac:dyDescent="0.4">
      <c r="B33" s="423" t="s">
        <v>605</v>
      </c>
      <c r="C33" s="425"/>
      <c r="D33" s="425"/>
      <c r="E33" s="429">
        <v>2006</v>
      </c>
      <c r="F33" s="31"/>
      <c r="G33" s="28"/>
      <c r="H33" s="24"/>
      <c r="I33" s="24"/>
      <c r="J33" s="24"/>
      <c r="K33" s="24"/>
      <c r="L33" s="24"/>
      <c r="M33" s="24"/>
    </row>
    <row r="34" spans="2:13" ht="12" customHeight="1" x14ac:dyDescent="0.2">
      <c r="B34" s="49"/>
      <c r="C34" s="24"/>
      <c r="D34" s="24"/>
      <c r="E34" s="24"/>
      <c r="F34" s="24"/>
      <c r="G34" s="86"/>
      <c r="H34" s="24"/>
      <c r="I34" s="24"/>
      <c r="J34" s="24"/>
      <c r="K34" s="24"/>
      <c r="L34" s="24"/>
      <c r="M34" s="297"/>
    </row>
    <row r="35" spans="2:13" ht="11.25" customHeight="1" x14ac:dyDescent="0.2">
      <c r="B35" s="486"/>
      <c r="C35" s="487" t="s">
        <v>351</v>
      </c>
      <c r="D35" s="487" t="s">
        <v>354</v>
      </c>
      <c r="E35" s="487" t="s">
        <v>356</v>
      </c>
      <c r="F35" s="487" t="s">
        <v>414</v>
      </c>
      <c r="G35" s="488" t="s">
        <v>356</v>
      </c>
      <c r="H35" s="24"/>
      <c r="I35" s="24"/>
      <c r="J35" s="24"/>
      <c r="K35" s="297"/>
      <c r="L35" s="24"/>
      <c r="M35" s="24"/>
    </row>
    <row r="36" spans="2:13" ht="12" customHeight="1" x14ac:dyDescent="0.2">
      <c r="B36" s="489" t="s">
        <v>20</v>
      </c>
      <c r="C36" s="490" t="s">
        <v>362</v>
      </c>
      <c r="D36" s="490" t="s">
        <v>418</v>
      </c>
      <c r="E36" s="490" t="s">
        <v>419</v>
      </c>
      <c r="F36" s="490"/>
      <c r="G36" s="491" t="s">
        <v>606</v>
      </c>
      <c r="H36" s="297"/>
      <c r="I36" s="24"/>
      <c r="J36" s="24"/>
      <c r="K36" s="297"/>
      <c r="L36" s="24"/>
      <c r="M36" s="24"/>
    </row>
    <row r="37" spans="2:13" ht="11.25" customHeight="1" x14ac:dyDescent="0.2">
      <c r="B37" s="438" t="s">
        <v>40</v>
      </c>
      <c r="C37" s="439">
        <v>951.31425000000002</v>
      </c>
      <c r="D37" s="475">
        <v>1.0023030599889999E-2</v>
      </c>
      <c r="E37" s="492">
        <f t="shared" ref="E37:E44" si="5">C37*D37</f>
        <v>9.5350518378614044</v>
      </c>
      <c r="F37" s="439">
        <f t="shared" ref="F37:F44" si="6">$K$8</f>
        <v>27.9</v>
      </c>
      <c r="G37" s="493">
        <f t="shared" ref="G37:G44" si="7">E37*F37/1000000</f>
        <v>2.6602794627633318E-4</v>
      </c>
      <c r="H37" s="477"/>
      <c r="I37" s="24"/>
      <c r="J37" s="53"/>
      <c r="K37" s="313"/>
      <c r="L37" s="53"/>
      <c r="M37" s="342"/>
    </row>
    <row r="38" spans="2:13" ht="11.25" customHeight="1" x14ac:dyDescent="0.2">
      <c r="B38" s="438" t="s">
        <v>383</v>
      </c>
      <c r="C38" s="304">
        <v>10493.920109999999</v>
      </c>
      <c r="D38" s="333">
        <v>1.0023030599889999E-2</v>
      </c>
      <c r="E38" s="494">
        <f t="shared" si="5"/>
        <v>105.18088237533102</v>
      </c>
      <c r="F38" s="304">
        <f t="shared" si="6"/>
        <v>27.9</v>
      </c>
      <c r="G38" s="495">
        <f t="shared" si="7"/>
        <v>2.9345466182717356E-3</v>
      </c>
      <c r="H38" s="477"/>
      <c r="I38" s="24"/>
      <c r="J38" s="53"/>
      <c r="K38" s="313"/>
      <c r="L38" s="53"/>
      <c r="M38" s="342"/>
    </row>
    <row r="39" spans="2:13" ht="11.25" customHeight="1" x14ac:dyDescent="0.2">
      <c r="B39" s="438" t="s">
        <v>403</v>
      </c>
      <c r="C39" s="304">
        <v>353.45787999999999</v>
      </c>
      <c r="D39" s="333">
        <v>1.0023030599889999E-2</v>
      </c>
      <c r="E39" s="494">
        <f t="shared" si="5"/>
        <v>3.5427191470122472</v>
      </c>
      <c r="F39" s="304">
        <f t="shared" si="6"/>
        <v>27.9</v>
      </c>
      <c r="G39" s="495">
        <f t="shared" si="7"/>
        <v>9.8841864201641697E-5</v>
      </c>
      <c r="H39" s="477"/>
      <c r="I39" s="24"/>
      <c r="J39" s="53"/>
      <c r="K39" s="313"/>
      <c r="L39" s="53"/>
      <c r="M39" s="342"/>
    </row>
    <row r="40" spans="2:13" ht="11.25" customHeight="1" x14ac:dyDescent="0.2">
      <c r="B40" s="438" t="s">
        <v>526</v>
      </c>
      <c r="C40" s="304">
        <v>1172.7171000000001</v>
      </c>
      <c r="D40" s="333">
        <v>1.0023030599889999E-2</v>
      </c>
      <c r="E40" s="494">
        <f t="shared" si="5"/>
        <v>11.754179378314261</v>
      </c>
      <c r="F40" s="304">
        <f t="shared" si="6"/>
        <v>27.9</v>
      </c>
      <c r="G40" s="495">
        <f t="shared" si="7"/>
        <v>3.2794160465496786E-4</v>
      </c>
      <c r="H40" s="477"/>
      <c r="I40" s="24"/>
      <c r="J40" s="53"/>
      <c r="K40" s="313"/>
      <c r="L40" s="53"/>
      <c r="M40" s="342"/>
    </row>
    <row r="41" spans="2:13" ht="11.25" customHeight="1" x14ac:dyDescent="0.2">
      <c r="B41" s="438" t="s">
        <v>601</v>
      </c>
      <c r="C41" s="304">
        <v>178.19621000000001</v>
      </c>
      <c r="D41" s="333">
        <v>1.0023030599889999E-2</v>
      </c>
      <c r="E41" s="494">
        <f t="shared" si="5"/>
        <v>1.7860660656144243</v>
      </c>
      <c r="F41" s="304">
        <f t="shared" si="6"/>
        <v>27.9</v>
      </c>
      <c r="G41" s="495">
        <f t="shared" si="7"/>
        <v>4.9831243230642432E-5</v>
      </c>
      <c r="H41" s="477"/>
      <c r="I41" s="24"/>
      <c r="J41" s="53"/>
      <c r="K41" s="313"/>
      <c r="L41" s="53"/>
      <c r="M41" s="342"/>
    </row>
    <row r="42" spans="2:13" ht="11.25" customHeight="1" x14ac:dyDescent="0.2">
      <c r="B42" s="438" t="s">
        <v>392</v>
      </c>
      <c r="C42" s="304">
        <v>301.52722</v>
      </c>
      <c r="D42" s="333">
        <v>1.0023030599889999E-2</v>
      </c>
      <c r="E42" s="494">
        <f t="shared" si="5"/>
        <v>3.022216552759764</v>
      </c>
      <c r="F42" s="304">
        <f t="shared" si="6"/>
        <v>27.9</v>
      </c>
      <c r="G42" s="495">
        <f t="shared" si="7"/>
        <v>8.4319841821997409E-5</v>
      </c>
      <c r="H42" s="477"/>
      <c r="I42" s="24"/>
      <c r="J42" s="53"/>
      <c r="K42" s="313"/>
      <c r="L42" s="53"/>
      <c r="M42" s="342"/>
    </row>
    <row r="43" spans="2:13" ht="11.25" customHeight="1" x14ac:dyDescent="0.2">
      <c r="B43" s="438" t="s">
        <v>63</v>
      </c>
      <c r="C43" s="304">
        <v>65040.950519999999</v>
      </c>
      <c r="D43" s="333">
        <v>4.7477513367900001E-3</v>
      </c>
      <c r="E43" s="494">
        <f t="shared" si="5"/>
        <v>308.79825977742223</v>
      </c>
      <c r="F43" s="304">
        <f t="shared" si="6"/>
        <v>27.9</v>
      </c>
      <c r="G43" s="495">
        <f t="shared" si="7"/>
        <v>8.6154714477900806E-3</v>
      </c>
      <c r="H43" s="477"/>
      <c r="I43" s="24"/>
      <c r="J43" s="53"/>
      <c r="K43" s="313"/>
      <c r="L43" s="53"/>
      <c r="M43" s="342"/>
    </row>
    <row r="44" spans="2:13" ht="12" customHeight="1" x14ac:dyDescent="0.2">
      <c r="B44" s="438" t="s">
        <v>103</v>
      </c>
      <c r="C44" s="304">
        <v>2101.198550000001</v>
      </c>
      <c r="D44" s="333">
        <v>0.28486508020740003</v>
      </c>
      <c r="E44" s="494">
        <f t="shared" si="5"/>
        <v>598.55809347742297</v>
      </c>
      <c r="F44" s="304">
        <f t="shared" si="6"/>
        <v>27.9</v>
      </c>
      <c r="G44" s="502">
        <f t="shared" si="7"/>
        <v>1.6699770808020101E-2</v>
      </c>
      <c r="H44" s="477"/>
      <c r="I44" s="24"/>
      <c r="J44" s="53"/>
      <c r="K44" s="313"/>
      <c r="L44" s="53"/>
      <c r="M44" s="342"/>
    </row>
    <row r="45" spans="2:13" ht="12" customHeight="1" x14ac:dyDescent="0.2">
      <c r="B45" s="154"/>
      <c r="C45" s="155"/>
      <c r="D45" s="155"/>
      <c r="E45" s="155"/>
      <c r="F45" s="505" t="s">
        <v>95</v>
      </c>
      <c r="G45" s="506">
        <f>SUM(G37:G44)</f>
        <v>2.90767513742675E-2</v>
      </c>
      <c r="H45" s="24"/>
      <c r="I45" s="24"/>
      <c r="J45" s="53"/>
      <c r="K45" s="351"/>
      <c r="L45" s="53"/>
      <c r="M45" s="352"/>
    </row>
    <row r="46" spans="2:13" ht="12" customHeight="1" x14ac:dyDescent="0.2"/>
    <row r="47" spans="2:13" ht="12" customHeight="1" x14ac:dyDescent="0.2"/>
    <row r="48" spans="2:13" ht="21.75" customHeight="1" x14ac:dyDescent="0.4">
      <c r="B48" s="508" t="s">
        <v>612</v>
      </c>
      <c r="C48" s="509"/>
      <c r="D48" s="509"/>
      <c r="E48" s="375"/>
    </row>
    <row r="49" spans="2:7" ht="11.25" customHeight="1" x14ac:dyDescent="0.2"/>
    <row r="50" spans="2:7" ht="12" customHeight="1" x14ac:dyDescent="0.2"/>
    <row r="51" spans="2:7" ht="15" customHeight="1" x14ac:dyDescent="0.25">
      <c r="B51" s="511"/>
      <c r="C51" s="512"/>
      <c r="D51" s="513" t="s">
        <v>614</v>
      </c>
      <c r="E51" s="513" t="s">
        <v>616</v>
      </c>
      <c r="F51" s="513" t="s">
        <v>617</v>
      </c>
      <c r="G51" s="516" t="s">
        <v>618</v>
      </c>
    </row>
    <row r="52" spans="2:7" ht="11.25" customHeight="1" x14ac:dyDescent="0.2">
      <c r="B52" s="517"/>
      <c r="C52" s="518" t="s">
        <v>351</v>
      </c>
      <c r="D52" s="299" t="s">
        <v>356</v>
      </c>
      <c r="E52" s="299" t="s">
        <v>356</v>
      </c>
      <c r="F52" s="299" t="s">
        <v>356</v>
      </c>
      <c r="G52" s="300" t="s">
        <v>356</v>
      </c>
    </row>
    <row r="53" spans="2:7" ht="11.25" customHeight="1" x14ac:dyDescent="0.2">
      <c r="B53" s="521" t="s">
        <v>20</v>
      </c>
      <c r="C53" s="518" t="s">
        <v>362</v>
      </c>
      <c r="D53" s="523" t="s">
        <v>620</v>
      </c>
      <c r="E53" s="523" t="s">
        <v>621</v>
      </c>
      <c r="F53" s="523" t="s">
        <v>622</v>
      </c>
      <c r="G53" s="514" t="s">
        <v>623</v>
      </c>
    </row>
    <row r="54" spans="2:7" ht="11.25" customHeight="1" x14ac:dyDescent="0.2">
      <c r="B54" s="524" t="s">
        <v>40</v>
      </c>
      <c r="C54" s="304">
        <f t="shared" ref="C54:C60" si="8">C8</f>
        <v>951.31425000000002</v>
      </c>
      <c r="D54" s="526">
        <f t="shared" ref="D54:D60" si="9">G8</f>
        <v>8.9856940768117802E-2</v>
      </c>
      <c r="E54" s="528">
        <f t="shared" ref="E54:E61" si="10">G37</f>
        <v>2.6602794627633318E-4</v>
      </c>
      <c r="F54" s="526">
        <f t="shared" ref="F54:F61" si="11">G22</f>
        <v>3.9046037276042455E-4</v>
      </c>
      <c r="G54" s="530">
        <f t="shared" ref="G54:G61" si="12">D54+E54+F54</f>
        <v>9.0513429087154568E-2</v>
      </c>
    </row>
    <row r="55" spans="2:7" ht="11.25" customHeight="1" x14ac:dyDescent="0.2">
      <c r="B55" s="524" t="s">
        <v>383</v>
      </c>
      <c r="C55" s="304">
        <f t="shared" si="8"/>
        <v>10493.920109999999</v>
      </c>
      <c r="D55" s="526">
        <f t="shared" si="9"/>
        <v>0.76693702167429922</v>
      </c>
      <c r="E55" s="528">
        <f t="shared" si="10"/>
        <v>2.9345466182717356E-3</v>
      </c>
      <c r="F55" s="526">
        <f t="shared" si="11"/>
        <v>1.7228628533079219E-3</v>
      </c>
      <c r="G55" s="530">
        <f t="shared" si="12"/>
        <v>0.77159443114587889</v>
      </c>
    </row>
    <row r="56" spans="2:7" ht="11.25" customHeight="1" x14ac:dyDescent="0.2">
      <c r="B56" s="524" t="s">
        <v>403</v>
      </c>
      <c r="C56" s="304">
        <f t="shared" si="8"/>
        <v>353.45787999999999</v>
      </c>
      <c r="D56" s="526">
        <f t="shared" si="9"/>
        <v>2.5534280673622067E-2</v>
      </c>
      <c r="E56" s="528">
        <f t="shared" si="10"/>
        <v>9.8841864201641697E-5</v>
      </c>
      <c r="F56" s="526">
        <f t="shared" si="11"/>
        <v>5.8029739628060596E-5</v>
      </c>
      <c r="G56" s="530">
        <f t="shared" si="12"/>
        <v>2.5691152277451772E-2</v>
      </c>
    </row>
    <row r="57" spans="2:7" ht="11.25" customHeight="1" x14ac:dyDescent="0.2">
      <c r="B57" s="524" t="s">
        <v>526</v>
      </c>
      <c r="C57" s="304">
        <f t="shared" si="8"/>
        <v>1172.7171000000001</v>
      </c>
      <c r="D57" s="526">
        <f t="shared" si="9"/>
        <v>7.3932506034974005E-2</v>
      </c>
      <c r="E57" s="528">
        <f t="shared" si="10"/>
        <v>3.2794160465496786E-4</v>
      </c>
      <c r="F57" s="526">
        <f t="shared" si="11"/>
        <v>1.9253345821678759E-4</v>
      </c>
      <c r="G57" s="530">
        <f t="shared" si="12"/>
        <v>7.4452981097845761E-2</v>
      </c>
    </row>
    <row r="58" spans="2:7" ht="11.25" customHeight="1" x14ac:dyDescent="0.2">
      <c r="B58" s="524" t="s">
        <v>601</v>
      </c>
      <c r="C58" s="304">
        <f t="shared" si="8"/>
        <v>170.91419000000002</v>
      </c>
      <c r="D58" s="526">
        <f t="shared" si="9"/>
        <v>1.2115838363002087E-2</v>
      </c>
      <c r="E58" s="528">
        <f t="shared" si="10"/>
        <v>4.9831243230642432E-5</v>
      </c>
      <c r="F58" s="526">
        <f t="shared" si="11"/>
        <v>2.9255762154764268E-5</v>
      </c>
      <c r="G58" s="530">
        <f t="shared" si="12"/>
        <v>1.2194925368387493E-2</v>
      </c>
    </row>
    <row r="59" spans="2:7" ht="11.25" customHeight="1" x14ac:dyDescent="0.2">
      <c r="B59" s="524" t="s">
        <v>392</v>
      </c>
      <c r="C59" s="304">
        <f t="shared" si="8"/>
        <v>301.52722</v>
      </c>
      <c r="D59" s="526">
        <f t="shared" si="9"/>
        <v>2.3737883172719174E-2</v>
      </c>
      <c r="E59" s="528">
        <f t="shared" si="10"/>
        <v>8.4319841821997409E-5</v>
      </c>
      <c r="F59" s="526">
        <f t="shared" si="11"/>
        <v>4.9503907134204921E-5</v>
      </c>
      <c r="G59" s="530">
        <f t="shared" si="12"/>
        <v>2.3871706921675374E-2</v>
      </c>
    </row>
    <row r="60" spans="2:7" ht="11.25" customHeight="1" x14ac:dyDescent="0.2">
      <c r="B60" s="524" t="s">
        <v>63</v>
      </c>
      <c r="C60" s="304">
        <f t="shared" si="8"/>
        <v>65040.950519999999</v>
      </c>
      <c r="D60" s="526">
        <f t="shared" si="9"/>
        <v>3.4477396195882544</v>
      </c>
      <c r="E60" s="528">
        <f t="shared" si="10"/>
        <v>8.6154714477900806E-3</v>
      </c>
      <c r="F60" s="526">
        <f t="shared" si="11"/>
        <v>1.6860384983847258E-3</v>
      </c>
      <c r="G60" s="530">
        <f t="shared" si="12"/>
        <v>3.4580411295344291</v>
      </c>
    </row>
    <row r="61" spans="2:7" ht="12" customHeight="1" x14ac:dyDescent="0.2">
      <c r="B61" s="524" t="s">
        <v>103</v>
      </c>
      <c r="C61" s="304">
        <f>C44</f>
        <v>2101.198550000001</v>
      </c>
      <c r="D61" s="534">
        <v>0</v>
      </c>
      <c r="E61" s="528">
        <f t="shared" si="10"/>
        <v>1.6699770808020101E-2</v>
      </c>
      <c r="F61" s="526">
        <f t="shared" si="11"/>
        <v>2.1787514602578193E-3</v>
      </c>
      <c r="G61" s="535">
        <f t="shared" si="12"/>
        <v>1.8878522268277922E-2</v>
      </c>
    </row>
    <row r="62" spans="2:7" ht="12" customHeight="1" x14ac:dyDescent="0.2">
      <c r="B62" s="348"/>
      <c r="C62" s="325"/>
      <c r="D62" s="325"/>
      <c r="E62" s="325"/>
      <c r="F62" s="505" t="s">
        <v>95</v>
      </c>
      <c r="G62" s="537">
        <f>SUM(G54:G61)</f>
        <v>4.4752382777011013</v>
      </c>
    </row>
    <row r="63" spans="2:7" ht="12" customHeight="1" thickTop="1" thickBot="1" x14ac:dyDescent="0.25"/>
    <row r="64" spans="2:7" ht="11.25" customHeight="1" thickTop="1" x14ac:dyDescent="0.2">
      <c r="B64" s="1876"/>
      <c r="C64" s="1877" t="s">
        <v>3</v>
      </c>
      <c r="D64" s="1895" t="s">
        <v>4</v>
      </c>
      <c r="E64" s="1895" t="s">
        <v>5</v>
      </c>
      <c r="F64" s="1896" t="s">
        <v>95</v>
      </c>
    </row>
    <row r="65" spans="2:6" ht="11.25" customHeight="1" thickBot="1" x14ac:dyDescent="0.25">
      <c r="B65" s="1879" t="s">
        <v>1747</v>
      </c>
      <c r="C65" s="1880" t="s">
        <v>1748</v>
      </c>
      <c r="D65" s="1880" t="s">
        <v>1748</v>
      </c>
      <c r="E65" s="1897" t="s">
        <v>1748</v>
      </c>
      <c r="F65" s="1898" t="s">
        <v>1748</v>
      </c>
    </row>
    <row r="66" spans="2:6" ht="11.25" customHeight="1" x14ac:dyDescent="0.2">
      <c r="B66" s="1882" t="s">
        <v>40</v>
      </c>
      <c r="C66" s="1899">
        <f>D54</f>
        <v>8.9856940768117802E-2</v>
      </c>
      <c r="D66" s="1899">
        <f>E54</f>
        <v>2.6602794627633318E-4</v>
      </c>
      <c r="E66" s="1900">
        <f>F54</f>
        <v>3.9046037276042455E-4</v>
      </c>
      <c r="F66" s="1901">
        <f>G54</f>
        <v>9.0513429087154568E-2</v>
      </c>
    </row>
    <row r="67" spans="2:6" ht="11.25" customHeight="1" x14ac:dyDescent="0.2">
      <c r="B67" s="1885" t="s">
        <v>141</v>
      </c>
      <c r="C67" s="1902">
        <f>D60+D57</f>
        <v>3.5216721256232284</v>
      </c>
      <c r="D67" s="1902">
        <f>E60+E57</f>
        <v>8.9434130524450491E-3</v>
      </c>
      <c r="E67" s="1903">
        <f>F60+F57</f>
        <v>1.8785719566015134E-3</v>
      </c>
      <c r="F67" s="1904">
        <f>G60+G57</f>
        <v>3.5324941106322747</v>
      </c>
    </row>
    <row r="68" spans="2:6" ht="11.25" customHeight="1" x14ac:dyDescent="0.2">
      <c r="B68" s="1885" t="s">
        <v>74</v>
      </c>
      <c r="C68" s="1902">
        <f>D55+D56+D58+D59</f>
        <v>0.8283250238836426</v>
      </c>
      <c r="D68" s="1902">
        <f>E55+E56+E58+E59</f>
        <v>3.1675395675260171E-3</v>
      </c>
      <c r="E68" s="1903">
        <f>F55+F56+F58+F59</f>
        <v>1.8596522622249517E-3</v>
      </c>
      <c r="F68" s="1904">
        <f>G55+G56+G58+G59</f>
        <v>0.83335221571339357</v>
      </c>
    </row>
    <row r="69" spans="2:6" ht="11.25" customHeight="1" thickBot="1" x14ac:dyDescent="0.25">
      <c r="B69" s="1888" t="s">
        <v>103</v>
      </c>
      <c r="C69" s="1889">
        <f>D61</f>
        <v>0</v>
      </c>
      <c r="D69" s="1889">
        <f>E61</f>
        <v>1.6699770808020101E-2</v>
      </c>
      <c r="E69" s="1905">
        <f>F61</f>
        <v>2.1787514602578193E-3</v>
      </c>
      <c r="F69" s="1906">
        <f>G61</f>
        <v>1.8878522268277922E-2</v>
      </c>
    </row>
    <row r="70" spans="2:6" ht="11.25" customHeight="1" thickBot="1" x14ac:dyDescent="0.25">
      <c r="B70" s="1891"/>
      <c r="C70" s="1892"/>
      <c r="D70" s="1892"/>
      <c r="E70" s="1893" t="s">
        <v>95</v>
      </c>
      <c r="F70" s="1907">
        <f>SUM(F66:F69)</f>
        <v>4.4752382777011013</v>
      </c>
    </row>
    <row r="71" spans="2:6" ht="11.25" customHeight="1" thickTop="1" x14ac:dyDescent="0.2"/>
    <row r="72" spans="2:6" ht="11.25" customHeight="1" x14ac:dyDescent="0.2"/>
    <row r="73" spans="2:6" ht="11.25" customHeight="1" x14ac:dyDescent="0.2">
      <c r="B73" s="161"/>
    </row>
    <row r="74" spans="2:6" ht="11.25" customHeight="1" x14ac:dyDescent="0.2"/>
    <row r="75" spans="2:6" ht="11.25" customHeight="1" x14ac:dyDescent="0.2"/>
    <row r="76" spans="2:6" ht="11.25" customHeight="1" x14ac:dyDescent="0.2"/>
    <row r="77" spans="2:6" ht="11.25" customHeight="1" x14ac:dyDescent="0.2"/>
    <row r="78" spans="2:6" ht="11.25" customHeight="1" x14ac:dyDescent="0.2"/>
    <row r="79" spans="2:6" ht="11.25" customHeight="1" x14ac:dyDescent="0.2"/>
    <row r="80" spans="2:6"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J5:K5"/>
  </mergeCells>
  <pageMargins left="0.7" right="0.7" top="0.75" bottom="0.75" header="0" footer="0"/>
  <pageSetup orientation="landscape"/>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1"/>
  <sheetViews>
    <sheetView workbookViewId="0"/>
  </sheetViews>
  <sheetFormatPr defaultColWidth="16.83203125" defaultRowHeight="15" customHeight="1" x14ac:dyDescent="0.2"/>
  <cols>
    <col min="1" max="1" width="8" customWidth="1"/>
    <col min="2" max="2" width="22.5" customWidth="1"/>
    <col min="3" max="3" width="17.83203125" customWidth="1"/>
    <col min="4" max="4" width="19.33203125" customWidth="1"/>
    <col min="5" max="5" width="22" customWidth="1"/>
    <col min="6" max="6" width="17.83203125" customWidth="1"/>
    <col min="7" max="7" width="20.33203125" customWidth="1"/>
    <col min="8" max="8" width="15.1640625" customWidth="1"/>
    <col min="9" max="9" width="19.33203125" customWidth="1"/>
    <col min="10" max="10" width="17.1640625" customWidth="1"/>
    <col min="11" max="26" width="8" customWidth="1"/>
  </cols>
  <sheetData>
    <row r="1" spans="1:26" ht="11.25" x14ac:dyDescent="0.2"/>
    <row r="2" spans="1:26" ht="36" customHeight="1" x14ac:dyDescent="0.45">
      <c r="A2" s="11" t="s">
        <v>607</v>
      </c>
      <c r="B2" s="11"/>
      <c r="C2" s="2"/>
      <c r="D2" s="2"/>
      <c r="E2" s="2"/>
      <c r="F2" s="16"/>
      <c r="G2" s="2"/>
      <c r="H2" s="2"/>
      <c r="I2" s="2"/>
      <c r="J2" s="2"/>
      <c r="K2" s="2"/>
      <c r="L2" s="2"/>
      <c r="M2" s="2"/>
      <c r="N2" s="2"/>
      <c r="O2" s="2"/>
      <c r="P2" s="2"/>
      <c r="Q2" s="2"/>
      <c r="R2" s="2"/>
      <c r="S2" s="2"/>
      <c r="T2" s="2"/>
      <c r="U2" s="2"/>
      <c r="V2" s="2"/>
      <c r="W2" s="2"/>
      <c r="X2" s="2"/>
      <c r="Y2" s="2"/>
      <c r="Z2" s="2"/>
    </row>
    <row r="3" spans="1:26" ht="80.25" customHeight="1" x14ac:dyDescent="0.2">
      <c r="A3" s="1789"/>
      <c r="B3" s="1766"/>
      <c r="C3" s="1766"/>
      <c r="D3" s="1766"/>
      <c r="E3" s="1766"/>
      <c r="F3" s="1766"/>
      <c r="G3" s="1766"/>
      <c r="H3" s="1766"/>
      <c r="I3" s="1766"/>
      <c r="J3" s="1766"/>
      <c r="K3" s="2"/>
      <c r="L3" s="2"/>
      <c r="M3" s="2"/>
      <c r="N3" s="2"/>
      <c r="O3" s="2"/>
      <c r="P3" s="2"/>
      <c r="Q3" s="2"/>
      <c r="R3" s="2"/>
      <c r="S3" s="2"/>
      <c r="T3" s="2"/>
      <c r="U3" s="2"/>
      <c r="V3" s="2"/>
      <c r="W3" s="2"/>
      <c r="X3" s="2"/>
      <c r="Y3" s="2"/>
      <c r="Z3" s="2"/>
    </row>
    <row r="4" spans="1:26" ht="11.25" customHeight="1" x14ac:dyDescent="0.2"/>
    <row r="5" spans="1:26" ht="21.75" customHeight="1" x14ac:dyDescent="0.4">
      <c r="B5" s="328" t="s">
        <v>608</v>
      </c>
      <c r="C5" s="496"/>
      <c r="D5" s="328">
        <v>2006</v>
      </c>
      <c r="E5" s="2"/>
      <c r="F5" s="2"/>
      <c r="G5" s="2"/>
      <c r="H5" s="2"/>
      <c r="I5" s="2"/>
      <c r="J5" s="2"/>
      <c r="K5" s="2"/>
      <c r="L5" s="2"/>
      <c r="M5" s="2"/>
      <c r="N5" s="2"/>
      <c r="O5" s="2"/>
      <c r="P5" s="24"/>
    </row>
    <row r="6" spans="1:26" ht="21.75" customHeight="1" x14ac:dyDescent="0.4">
      <c r="B6" s="497"/>
      <c r="C6" s="498" t="s">
        <v>609</v>
      </c>
      <c r="D6" s="498" t="s">
        <v>610</v>
      </c>
      <c r="E6" s="499"/>
      <c r="F6" s="498" t="s">
        <v>611</v>
      </c>
      <c r="G6" s="499"/>
      <c r="H6" s="499"/>
      <c r="I6" s="499"/>
      <c r="J6" s="500"/>
      <c r="K6" s="2"/>
      <c r="L6" s="2"/>
      <c r="M6" s="2"/>
      <c r="N6" s="2"/>
      <c r="O6" s="2"/>
      <c r="P6" s="24"/>
    </row>
    <row r="7" spans="1:26" ht="11.25" customHeight="1" x14ac:dyDescent="0.2">
      <c r="B7" s="501"/>
      <c r="C7" s="503" t="s">
        <v>351</v>
      </c>
      <c r="D7" s="503" t="s">
        <v>351</v>
      </c>
      <c r="E7" s="504"/>
      <c r="F7" s="503" t="s">
        <v>351</v>
      </c>
      <c r="G7" s="503" t="s">
        <v>354</v>
      </c>
      <c r="H7" s="503" t="s">
        <v>355</v>
      </c>
      <c r="I7" s="299" t="s">
        <v>356</v>
      </c>
      <c r="J7" s="300" t="s">
        <v>356</v>
      </c>
      <c r="K7" s="2"/>
      <c r="L7" s="24"/>
      <c r="M7" s="2"/>
      <c r="N7" s="297"/>
      <c r="O7" s="2"/>
      <c r="P7" s="24"/>
    </row>
    <row r="8" spans="1:26" ht="11.25" customHeight="1" x14ac:dyDescent="0.2">
      <c r="B8" s="507" t="s">
        <v>20</v>
      </c>
      <c r="C8" s="510" t="s">
        <v>362</v>
      </c>
      <c r="D8" s="510" t="s">
        <v>362</v>
      </c>
      <c r="E8" s="510" t="s">
        <v>613</v>
      </c>
      <c r="F8" s="510" t="s">
        <v>362</v>
      </c>
      <c r="G8" s="510" t="s">
        <v>363</v>
      </c>
      <c r="H8" s="510" t="s">
        <v>364</v>
      </c>
      <c r="I8" s="510" t="s">
        <v>365</v>
      </c>
      <c r="J8" s="514" t="s">
        <v>615</v>
      </c>
      <c r="K8" s="515"/>
      <c r="L8" s="24"/>
      <c r="M8" s="2"/>
      <c r="N8" s="515"/>
      <c r="O8" s="2"/>
      <c r="P8" s="24"/>
    </row>
    <row r="9" spans="1:26" ht="12.75" customHeight="1" x14ac:dyDescent="0.2">
      <c r="B9" s="519" t="s">
        <v>619</v>
      </c>
      <c r="C9" s="520">
        <v>0</v>
      </c>
      <c r="D9" s="520">
        <v>0</v>
      </c>
      <c r="E9" s="522">
        <v>0.1</v>
      </c>
      <c r="F9" s="525">
        <f t="shared" ref="F9:F30" si="0">C9-(D9*E9)</f>
        <v>0</v>
      </c>
      <c r="G9" s="527">
        <v>56.195454545454538</v>
      </c>
      <c r="H9" s="529">
        <v>1</v>
      </c>
      <c r="I9" s="310">
        <f t="shared" ref="I9:I11" si="1">(F9*1000*G9*H9)/2000</f>
        <v>0</v>
      </c>
      <c r="J9" s="531">
        <f t="shared" ref="J9:J30" si="2">I9*(44/12)*0.90718/1000000</f>
        <v>0</v>
      </c>
      <c r="K9" s="532"/>
      <c r="L9" s="24"/>
      <c r="M9" s="533"/>
      <c r="N9" s="313"/>
      <c r="O9" s="533"/>
      <c r="P9" s="24"/>
    </row>
    <row r="10" spans="1:26" ht="11.25" customHeight="1" x14ac:dyDescent="0.2">
      <c r="B10" s="519" t="s">
        <v>624</v>
      </c>
      <c r="C10" s="520">
        <v>30430.66779</v>
      </c>
      <c r="D10" s="520">
        <v>307.25402853954921</v>
      </c>
      <c r="E10" s="522">
        <v>0</v>
      </c>
      <c r="F10" s="525">
        <f t="shared" si="0"/>
        <v>30430.66779</v>
      </c>
      <c r="G10" s="527">
        <v>56.852727272727272</v>
      </c>
      <c r="H10" s="529">
        <v>1</v>
      </c>
      <c r="I10" s="310">
        <f t="shared" si="1"/>
        <v>865033.22829591809</v>
      </c>
      <c r="J10" s="536">
        <f t="shared" si="2"/>
        <v>2.8773830948334669</v>
      </c>
      <c r="K10" s="532"/>
      <c r="L10" s="24"/>
      <c r="M10" s="533"/>
      <c r="N10" s="313"/>
      <c r="O10" s="533"/>
      <c r="P10" s="24"/>
    </row>
    <row r="11" spans="1:26" ht="11.25" customHeight="1" x14ac:dyDescent="0.2">
      <c r="B11" s="519" t="s">
        <v>625</v>
      </c>
      <c r="C11" s="520">
        <v>19576.189249999999</v>
      </c>
      <c r="D11" s="520">
        <v>19576.189249999999</v>
      </c>
      <c r="E11" s="522">
        <v>1</v>
      </c>
      <c r="F11" s="525">
        <f t="shared" si="0"/>
        <v>0</v>
      </c>
      <c r="G11" s="527">
        <v>45.418502202643168</v>
      </c>
      <c r="H11" s="529">
        <v>1</v>
      </c>
      <c r="I11" s="310">
        <f t="shared" si="1"/>
        <v>0</v>
      </c>
      <c r="J11" s="536">
        <f t="shared" si="2"/>
        <v>0</v>
      </c>
      <c r="K11" s="532"/>
      <c r="L11" s="24"/>
      <c r="M11" s="533"/>
      <c r="N11" s="313"/>
      <c r="O11" s="533"/>
      <c r="P11" s="24"/>
    </row>
    <row r="12" spans="1:26" ht="18.75" customHeight="1" x14ac:dyDescent="0.2">
      <c r="B12" s="538" t="s">
        <v>626</v>
      </c>
      <c r="C12" s="520">
        <v>0</v>
      </c>
      <c r="D12" s="520">
        <v>0</v>
      </c>
      <c r="E12" s="522">
        <v>0</v>
      </c>
      <c r="F12" s="525">
        <f t="shared" si="0"/>
        <v>0</v>
      </c>
      <c r="G12" s="527">
        <v>41.563876651982376</v>
      </c>
      <c r="H12" s="529">
        <v>1</v>
      </c>
      <c r="I12" s="310">
        <f t="shared" ref="I12:I13" si="3">F12*G12*H12/2000</f>
        <v>0</v>
      </c>
      <c r="J12" s="536">
        <f t="shared" si="2"/>
        <v>0</v>
      </c>
      <c r="K12" s="532"/>
      <c r="L12" s="24"/>
      <c r="M12" s="533"/>
      <c r="N12" s="313"/>
      <c r="O12" s="533"/>
      <c r="P12" s="24"/>
    </row>
    <row r="13" spans="1:26" ht="11.25" customHeight="1" x14ac:dyDescent="0.2">
      <c r="B13" s="538" t="s">
        <v>627</v>
      </c>
      <c r="C13" s="520">
        <v>0</v>
      </c>
      <c r="D13" s="520">
        <v>0</v>
      </c>
      <c r="E13" s="522">
        <v>0</v>
      </c>
      <c r="F13" s="525">
        <f t="shared" si="0"/>
        <v>0</v>
      </c>
      <c r="G13" s="539">
        <v>44.823453232864388</v>
      </c>
      <c r="H13" s="529">
        <v>1</v>
      </c>
      <c r="I13" s="310">
        <f t="shared" si="3"/>
        <v>0</v>
      </c>
      <c r="J13" s="536">
        <f t="shared" si="2"/>
        <v>0</v>
      </c>
      <c r="K13" s="532"/>
      <c r="L13" s="24"/>
      <c r="M13" s="533"/>
      <c r="N13" s="313"/>
      <c r="O13" s="533"/>
      <c r="P13" s="24"/>
    </row>
    <row r="14" spans="1:26" ht="11.25" customHeight="1" x14ac:dyDescent="0.2">
      <c r="B14" s="519" t="s">
        <v>383</v>
      </c>
      <c r="C14" s="520">
        <v>12446.073039999999</v>
      </c>
      <c r="D14" s="520">
        <v>118.8273577409505</v>
      </c>
      <c r="E14" s="522">
        <v>0.5</v>
      </c>
      <c r="F14" s="525">
        <f t="shared" si="0"/>
        <v>12386.659361129525</v>
      </c>
      <c r="G14" s="527">
        <v>43.942731277533035</v>
      </c>
      <c r="H14" s="529">
        <v>1</v>
      </c>
      <c r="I14" s="310">
        <f t="shared" ref="I14:I20" si="4">(F14*1000*G14*H14)/2000</f>
        <v>272151.82186622685</v>
      </c>
      <c r="J14" s="536">
        <f t="shared" si="2"/>
        <v>0.90526586245554674</v>
      </c>
      <c r="K14" s="532"/>
      <c r="L14" s="24"/>
      <c r="M14" s="533"/>
      <c r="N14" s="313"/>
      <c r="O14" s="533"/>
      <c r="P14" s="24"/>
    </row>
    <row r="15" spans="1:26" ht="18.75" customHeight="1" x14ac:dyDescent="0.2">
      <c r="B15" s="538" t="s">
        <v>628</v>
      </c>
      <c r="C15" s="520">
        <v>726.11391000000003</v>
      </c>
      <c r="D15" s="520">
        <v>715.1466275548712</v>
      </c>
      <c r="E15" s="522">
        <v>0.61918625610433442</v>
      </c>
      <c r="F15" s="525">
        <f t="shared" si="0"/>
        <v>283.3049471186585</v>
      </c>
      <c r="G15" s="527">
        <v>39.955947136563871</v>
      </c>
      <c r="H15" s="529">
        <v>1</v>
      </c>
      <c r="I15" s="310">
        <f t="shared" si="4"/>
        <v>5659.858745300071</v>
      </c>
      <c r="J15" s="536">
        <f t="shared" si="2"/>
        <v>1.8826539074058166E-2</v>
      </c>
      <c r="K15" s="532"/>
      <c r="L15" s="24"/>
      <c r="M15" s="533"/>
      <c r="N15" s="313"/>
      <c r="O15" s="533"/>
      <c r="P15" s="24"/>
    </row>
    <row r="16" spans="1:26" ht="18.75" customHeight="1" x14ac:dyDescent="0.2">
      <c r="B16" s="538" t="s">
        <v>629</v>
      </c>
      <c r="C16" s="520">
        <v>912.92358999999999</v>
      </c>
      <c r="D16" s="520">
        <v>661.47104106953759</v>
      </c>
      <c r="E16" s="522">
        <v>0.61918625610433442</v>
      </c>
      <c r="F16" s="525">
        <f t="shared" si="0"/>
        <v>503.34981255871656</v>
      </c>
      <c r="G16" s="527">
        <v>43.942731277533035</v>
      </c>
      <c r="H16" s="529">
        <v>1</v>
      </c>
      <c r="I16" s="310">
        <f t="shared" si="4"/>
        <v>11059.282775932152</v>
      </c>
      <c r="J16" s="536">
        <f t="shared" si="2"/>
        <v>3.6786787211790468E-2</v>
      </c>
      <c r="K16" s="532"/>
      <c r="L16" s="24"/>
      <c r="M16" s="533"/>
      <c r="N16" s="313"/>
      <c r="O16" s="533"/>
      <c r="P16" s="24"/>
    </row>
    <row r="17" spans="2:16" ht="11.25" customHeight="1" x14ac:dyDescent="0.2">
      <c r="B17" s="519" t="s">
        <v>403</v>
      </c>
      <c r="C17" s="520">
        <v>172.24553</v>
      </c>
      <c r="D17" s="520">
        <v>0</v>
      </c>
      <c r="E17" s="522">
        <v>0</v>
      </c>
      <c r="F17" s="525">
        <f t="shared" si="0"/>
        <v>172.24553</v>
      </c>
      <c r="G17" s="527">
        <v>43.436123348017617</v>
      </c>
      <c r="H17" s="529">
        <v>1</v>
      </c>
      <c r="I17" s="310">
        <f t="shared" si="4"/>
        <v>3740.8390436123345</v>
      </c>
      <c r="J17" s="536">
        <f t="shared" si="2"/>
        <v>1.2443252666475536E-2</v>
      </c>
      <c r="K17" s="532"/>
      <c r="L17" s="24"/>
      <c r="M17" s="533"/>
      <c r="N17" s="313"/>
      <c r="O17" s="533"/>
      <c r="P17" s="24"/>
    </row>
    <row r="18" spans="2:16" ht="11.25" customHeight="1" x14ac:dyDescent="0.2">
      <c r="B18" s="519" t="s">
        <v>526</v>
      </c>
      <c r="C18" s="520">
        <v>3241.0028299999999</v>
      </c>
      <c r="D18" s="520">
        <v>2263.7016790260022</v>
      </c>
      <c r="E18" s="522">
        <v>0.61918625610433442</v>
      </c>
      <c r="F18" s="525">
        <f t="shared" si="0"/>
        <v>1839.3498624267938</v>
      </c>
      <c r="G18" s="539">
        <v>37.454057213788957</v>
      </c>
      <c r="H18" s="529">
        <v>1</v>
      </c>
      <c r="I18" s="310">
        <f t="shared" si="4"/>
        <v>34445.557491753993</v>
      </c>
      <c r="J18" s="536">
        <f t="shared" si="2"/>
        <v>0.11457717643302107</v>
      </c>
      <c r="K18" s="532"/>
      <c r="L18" s="24"/>
      <c r="M18" s="533"/>
      <c r="N18" s="313"/>
      <c r="O18" s="533"/>
      <c r="P18" s="24"/>
    </row>
    <row r="19" spans="2:16" ht="11.25" customHeight="1" x14ac:dyDescent="0.2">
      <c r="B19" s="519" t="s">
        <v>630</v>
      </c>
      <c r="C19" s="520">
        <v>2154.1493500000001</v>
      </c>
      <c r="D19" s="520">
        <v>2154.1493500000001</v>
      </c>
      <c r="E19" s="522">
        <v>9.2393732597307904E-2</v>
      </c>
      <c r="F19" s="525">
        <f t="shared" si="0"/>
        <v>1955.1194509814354</v>
      </c>
      <c r="G19" s="527">
        <v>44.581497797356818</v>
      </c>
      <c r="H19" s="529">
        <v>1</v>
      </c>
      <c r="I19" s="310">
        <f t="shared" si="4"/>
        <v>43581.076748749168</v>
      </c>
      <c r="J19" s="536">
        <f t="shared" si="2"/>
        <v>0.144964897751411</v>
      </c>
      <c r="K19" s="532"/>
      <c r="L19" s="24"/>
      <c r="M19" s="533"/>
      <c r="N19" s="313"/>
      <c r="O19" s="533"/>
      <c r="P19" s="24"/>
    </row>
    <row r="20" spans="2:16" ht="11.25" customHeight="1" x14ac:dyDescent="0.2">
      <c r="B20" s="519" t="s">
        <v>601</v>
      </c>
      <c r="C20" s="520">
        <v>5174.2152900000001</v>
      </c>
      <c r="D20" s="520">
        <v>0</v>
      </c>
      <c r="E20" s="522">
        <v>0</v>
      </c>
      <c r="F20" s="525">
        <f t="shared" si="0"/>
        <v>5174.2152900000001</v>
      </c>
      <c r="G20" s="539">
        <v>42.62265</v>
      </c>
      <c r="H20" s="529">
        <v>1</v>
      </c>
      <c r="I20" s="310">
        <f t="shared" si="4"/>
        <v>110269.38366515926</v>
      </c>
      <c r="J20" s="536">
        <f t="shared" si="2"/>
        <v>0.36679199140231694</v>
      </c>
      <c r="K20" s="532"/>
      <c r="L20" s="24"/>
      <c r="M20" s="533"/>
      <c r="N20" s="313"/>
      <c r="O20" s="533"/>
      <c r="P20" s="24"/>
    </row>
    <row r="21" spans="2:16" ht="18.75" customHeight="1" x14ac:dyDescent="0.2">
      <c r="B21" s="538" t="s">
        <v>632</v>
      </c>
      <c r="C21" s="520">
        <v>0</v>
      </c>
      <c r="D21" s="520">
        <v>0</v>
      </c>
      <c r="E21" s="522">
        <v>0</v>
      </c>
      <c r="F21" s="525">
        <f t="shared" si="0"/>
        <v>0</v>
      </c>
      <c r="G21" s="539">
        <v>42.62265</v>
      </c>
      <c r="H21" s="529">
        <v>1</v>
      </c>
      <c r="I21" s="310">
        <f>F21*G21*H21/2000</f>
        <v>0</v>
      </c>
      <c r="J21" s="536">
        <f t="shared" si="2"/>
        <v>0</v>
      </c>
      <c r="K21" s="532"/>
      <c r="L21" s="24"/>
      <c r="M21" s="533"/>
      <c r="N21" s="313"/>
      <c r="O21" s="533"/>
      <c r="P21" s="24"/>
    </row>
    <row r="22" spans="2:16" ht="11.25" customHeight="1" x14ac:dyDescent="0.2">
      <c r="B22" s="519" t="s">
        <v>633</v>
      </c>
      <c r="C22" s="520">
        <v>157.07159999999999</v>
      </c>
      <c r="D22" s="520">
        <v>157.07159999999999</v>
      </c>
      <c r="E22" s="522">
        <v>0</v>
      </c>
      <c r="F22" s="525">
        <f t="shared" si="0"/>
        <v>157.07159999999999</v>
      </c>
      <c r="G22" s="539">
        <v>44.823453232864388</v>
      </c>
      <c r="H22" s="529">
        <v>1</v>
      </c>
      <c r="I22" s="310">
        <f>(F22*1000*G22*H22)/2000</f>
        <v>3520.2457584055905</v>
      </c>
      <c r="J22" s="536">
        <f t="shared" si="2"/>
        <v>1.170948733940474E-2</v>
      </c>
      <c r="K22" s="532"/>
      <c r="L22" s="24"/>
      <c r="M22" s="533"/>
      <c r="N22" s="313"/>
      <c r="O22" s="533"/>
      <c r="P22" s="24"/>
    </row>
    <row r="23" spans="2:16" ht="11.25" customHeight="1" x14ac:dyDescent="0.2">
      <c r="B23" s="519" t="s">
        <v>637</v>
      </c>
      <c r="C23" s="520">
        <v>0</v>
      </c>
      <c r="D23" s="520">
        <v>0</v>
      </c>
      <c r="E23" s="522">
        <v>0.5</v>
      </c>
      <c r="F23" s="525">
        <f t="shared" si="0"/>
        <v>0</v>
      </c>
      <c r="G23" s="527">
        <v>61.343612334801762</v>
      </c>
      <c r="H23" s="529">
        <v>1</v>
      </c>
      <c r="I23" s="310">
        <f>F23*G23*H23/2000</f>
        <v>0</v>
      </c>
      <c r="J23" s="536">
        <f t="shared" si="2"/>
        <v>0</v>
      </c>
      <c r="K23" s="532"/>
      <c r="L23" s="24"/>
      <c r="M23" s="533"/>
      <c r="N23" s="313"/>
      <c r="O23" s="533"/>
      <c r="P23" s="24"/>
    </row>
    <row r="24" spans="2:16" ht="11.25" customHeight="1" x14ac:dyDescent="0.2">
      <c r="B24" s="519" t="s">
        <v>640</v>
      </c>
      <c r="C24" s="520">
        <v>161.77572000000001</v>
      </c>
      <c r="D24" s="520">
        <v>122.04430006839266</v>
      </c>
      <c r="E24" s="522">
        <v>0.61918625610433442</v>
      </c>
      <c r="F24" s="525">
        <f t="shared" si="0"/>
        <v>86.207566761777997</v>
      </c>
      <c r="G24" s="527">
        <v>40.176211453744486</v>
      </c>
      <c r="H24" s="529">
        <v>1</v>
      </c>
      <c r="I24" s="310">
        <f t="shared" ref="I24:I25" si="5">(F24*1000*G24*H24)/2000</f>
        <v>1731.746715566994</v>
      </c>
      <c r="J24" s="536">
        <f t="shared" si="2"/>
        <v>5.7603552799029073E-3</v>
      </c>
      <c r="K24" s="532"/>
      <c r="L24" s="24"/>
      <c r="M24" s="533"/>
      <c r="N24" s="313"/>
      <c r="O24" s="533"/>
      <c r="P24" s="24"/>
    </row>
    <row r="25" spans="2:16" ht="11.25" customHeight="1" x14ac:dyDescent="0.2">
      <c r="B25" s="519" t="s">
        <v>392</v>
      </c>
      <c r="C25" s="520">
        <v>4766.90751</v>
      </c>
      <c r="D25" s="520">
        <v>0</v>
      </c>
      <c r="E25" s="522">
        <v>0.5</v>
      </c>
      <c r="F25" s="525">
        <f t="shared" si="0"/>
        <v>4766.90751</v>
      </c>
      <c r="G25" s="527">
        <v>47.33480176211453</v>
      </c>
      <c r="H25" s="529">
        <v>1</v>
      </c>
      <c r="I25" s="310">
        <f t="shared" si="5"/>
        <v>112820.31100209249</v>
      </c>
      <c r="J25" s="536">
        <f t="shared" si="2"/>
        <v>0.37527720902788697</v>
      </c>
      <c r="K25" s="532"/>
      <c r="L25" s="24"/>
      <c r="M25" s="533"/>
      <c r="N25" s="313"/>
      <c r="O25" s="533"/>
      <c r="P25" s="24"/>
    </row>
    <row r="26" spans="2:16" ht="11.25" customHeight="1" x14ac:dyDescent="0.2">
      <c r="B26" s="519" t="s">
        <v>643</v>
      </c>
      <c r="C26" s="520">
        <v>0</v>
      </c>
      <c r="D26" s="520">
        <v>0</v>
      </c>
      <c r="E26" s="522">
        <v>0.8</v>
      </c>
      <c r="F26" s="525">
        <f t="shared" si="0"/>
        <v>0</v>
      </c>
      <c r="G26" s="527">
        <v>38.568281938325988</v>
      </c>
      <c r="H26" s="529">
        <v>1</v>
      </c>
      <c r="I26" s="310">
        <f>F26*G26*H26/2000</f>
        <v>0</v>
      </c>
      <c r="J26" s="536">
        <f t="shared" si="2"/>
        <v>0</v>
      </c>
      <c r="K26" s="532"/>
      <c r="L26" s="24"/>
      <c r="M26" s="533"/>
      <c r="N26" s="313"/>
      <c r="O26" s="533"/>
      <c r="P26" s="24"/>
    </row>
    <row r="27" spans="2:16" ht="11.25" customHeight="1" x14ac:dyDescent="0.2">
      <c r="B27" s="519" t="s">
        <v>646</v>
      </c>
      <c r="C27" s="520">
        <v>3076.9398200000001</v>
      </c>
      <c r="D27" s="520">
        <v>3034.4904438139852</v>
      </c>
      <c r="E27" s="522">
        <v>0</v>
      </c>
      <c r="F27" s="525">
        <f t="shared" si="0"/>
        <v>3076.9398200000001</v>
      </c>
      <c r="G27" s="527">
        <v>43.744493392070481</v>
      </c>
      <c r="H27" s="529">
        <v>1</v>
      </c>
      <c r="I27" s="310">
        <f>(F27*1000*G27*H27)/2000</f>
        <v>67299.586811894274</v>
      </c>
      <c r="J27" s="536">
        <f t="shared" si="2"/>
        <v>0.22386041026805226</v>
      </c>
      <c r="K27" s="532"/>
      <c r="L27" s="24"/>
      <c r="M27" s="533"/>
      <c r="N27" s="313"/>
      <c r="O27" s="533"/>
      <c r="P27" s="24"/>
    </row>
    <row r="28" spans="2:16" ht="11.25" customHeight="1" x14ac:dyDescent="0.2">
      <c r="B28" s="519" t="s">
        <v>648</v>
      </c>
      <c r="C28" s="520">
        <v>0</v>
      </c>
      <c r="D28" s="520">
        <v>0</v>
      </c>
      <c r="E28" s="522">
        <v>0</v>
      </c>
      <c r="F28" s="525">
        <f t="shared" si="0"/>
        <v>0</v>
      </c>
      <c r="G28" s="539">
        <v>44.823453232864388</v>
      </c>
      <c r="H28" s="529">
        <v>1</v>
      </c>
      <c r="I28" s="310">
        <f>F28*G28*H28/2000</f>
        <v>0</v>
      </c>
      <c r="J28" s="536">
        <f t="shared" si="2"/>
        <v>0</v>
      </c>
      <c r="K28" s="532"/>
      <c r="L28" s="24"/>
      <c r="M28" s="533"/>
      <c r="N28" s="313"/>
      <c r="O28" s="533"/>
      <c r="P28" s="24"/>
    </row>
    <row r="29" spans="2:16" ht="11.25" customHeight="1" x14ac:dyDescent="0.2">
      <c r="B29" s="519" t="s">
        <v>649</v>
      </c>
      <c r="C29" s="520">
        <v>241.17277999999999</v>
      </c>
      <c r="D29" s="520">
        <v>241.17277999999999</v>
      </c>
      <c r="E29" s="522">
        <v>0.57999999999999996</v>
      </c>
      <c r="F29" s="525">
        <f t="shared" si="0"/>
        <v>101.29256760000001</v>
      </c>
      <c r="G29" s="527">
        <v>43.63436123348017</v>
      </c>
      <c r="H29" s="529">
        <v>1</v>
      </c>
      <c r="I29" s="310">
        <f t="shared" ref="I29:I30" si="6">(F29*1000*G29*H29)/2000</f>
        <v>2209.9182424625551</v>
      </c>
      <c r="J29" s="536">
        <f t="shared" si="2"/>
        <v>7.3509099810563291E-3</v>
      </c>
      <c r="K29" s="532"/>
      <c r="L29" s="24"/>
      <c r="M29" s="533"/>
      <c r="N29" s="313"/>
      <c r="O29" s="533"/>
      <c r="P29" s="24"/>
    </row>
    <row r="30" spans="2:16" ht="12" customHeight="1" x14ac:dyDescent="0.2">
      <c r="B30" s="519" t="s">
        <v>63</v>
      </c>
      <c r="C30" s="520">
        <v>23810.834429999999</v>
      </c>
      <c r="D30" s="520">
        <v>1279.7490342444869</v>
      </c>
      <c r="E30" s="522">
        <v>0.61918625610433442</v>
      </c>
      <c r="F30" s="525">
        <f t="shared" si="0"/>
        <v>23018.431416733016</v>
      </c>
      <c r="G30" s="546">
        <v>31.872246696035241</v>
      </c>
      <c r="H30" s="547">
        <v>1</v>
      </c>
      <c r="I30" s="463">
        <f t="shared" si="6"/>
        <v>366824.56233494135</v>
      </c>
      <c r="J30" s="549">
        <f t="shared" si="2"/>
        <v>1.2201783236830441</v>
      </c>
      <c r="K30" s="532"/>
      <c r="L30" s="24"/>
      <c r="M30" s="533"/>
      <c r="N30" s="313"/>
      <c r="O30" s="533"/>
      <c r="P30" s="24"/>
    </row>
    <row r="31" spans="2:16" ht="12" customHeight="1" x14ac:dyDescent="0.2">
      <c r="B31" s="552"/>
      <c r="C31" s="553"/>
      <c r="D31" s="553"/>
      <c r="E31" s="553"/>
      <c r="F31" s="553"/>
      <c r="G31" s="553"/>
      <c r="H31" s="554" t="s">
        <v>95</v>
      </c>
      <c r="I31" s="555"/>
      <c r="J31" s="556">
        <f>SUM(J9:J30)</f>
        <v>6.321176297407435</v>
      </c>
      <c r="K31" s="2"/>
      <c r="L31" s="2"/>
      <c r="M31" s="2"/>
      <c r="N31" s="2"/>
      <c r="O31" s="2"/>
    </row>
    <row r="32" spans="2:16" ht="12" customHeight="1" x14ac:dyDescent="0.2">
      <c r="B32" s="394"/>
      <c r="C32" s="395"/>
      <c r="D32" s="395"/>
      <c r="E32" s="395"/>
      <c r="F32" s="395"/>
      <c r="G32" s="395"/>
      <c r="H32" s="560"/>
      <c r="I32" s="560"/>
      <c r="J32" s="562"/>
    </row>
    <row r="33" spans="2:13" ht="12" customHeight="1" x14ac:dyDescent="0.2"/>
    <row r="34" spans="2:13" ht="11.25" customHeight="1" x14ac:dyDescent="0.2"/>
    <row r="35" spans="2:13" ht="21.75" customHeight="1" x14ac:dyDescent="0.4">
      <c r="B35" s="286" t="s">
        <v>662</v>
      </c>
      <c r="C35" s="496"/>
      <c r="D35" s="328">
        <v>2006</v>
      </c>
      <c r="E35" s="2"/>
      <c r="F35" s="2"/>
      <c r="G35" s="2"/>
      <c r="H35" s="2"/>
      <c r="I35" s="2"/>
      <c r="J35" s="2"/>
      <c r="K35" s="2"/>
      <c r="L35" s="2"/>
      <c r="M35" s="2"/>
    </row>
    <row r="36" spans="2:13" ht="21.75" customHeight="1" x14ac:dyDescent="0.4">
      <c r="B36" s="567"/>
      <c r="C36" s="498" t="s">
        <v>609</v>
      </c>
      <c r="D36" s="498" t="s">
        <v>610</v>
      </c>
      <c r="E36" s="499"/>
      <c r="F36" s="499"/>
      <c r="G36" s="499"/>
      <c r="H36" s="500"/>
      <c r="I36" s="2"/>
      <c r="J36" s="1769" t="s">
        <v>1</v>
      </c>
      <c r="K36" s="1759"/>
      <c r="L36" s="2"/>
      <c r="M36" s="2"/>
    </row>
    <row r="37" spans="2:13" ht="11.25" customHeight="1" x14ac:dyDescent="0.2">
      <c r="B37" s="574"/>
      <c r="C37" s="503" t="s">
        <v>351</v>
      </c>
      <c r="D37" s="503" t="s">
        <v>351</v>
      </c>
      <c r="E37" s="299" t="s">
        <v>354</v>
      </c>
      <c r="F37" s="299" t="s">
        <v>460</v>
      </c>
      <c r="G37" s="503" t="s">
        <v>414</v>
      </c>
      <c r="H37" s="300" t="s">
        <v>356</v>
      </c>
      <c r="I37" s="2"/>
      <c r="J37" s="235"/>
      <c r="K37" s="235"/>
      <c r="L37" s="297"/>
      <c r="M37" s="2"/>
    </row>
    <row r="38" spans="2:13" ht="11.25" customHeight="1" x14ac:dyDescent="0.2">
      <c r="B38" s="579" t="s">
        <v>20</v>
      </c>
      <c r="C38" s="510" t="s">
        <v>362</v>
      </c>
      <c r="D38" s="510" t="s">
        <v>362</v>
      </c>
      <c r="E38" s="523" t="s">
        <v>667</v>
      </c>
      <c r="F38" s="523" t="s">
        <v>669</v>
      </c>
      <c r="G38" s="510"/>
      <c r="H38" s="514" t="s">
        <v>670</v>
      </c>
      <c r="I38" s="2"/>
      <c r="J38" s="240" t="s">
        <v>433</v>
      </c>
      <c r="K38" s="241">
        <f>Summary!E4</f>
        <v>1</v>
      </c>
      <c r="L38" s="297"/>
      <c r="M38" s="2"/>
    </row>
    <row r="39" spans="2:13" ht="12.75" customHeight="1" x14ac:dyDescent="0.25">
      <c r="B39" s="519" t="s">
        <v>619</v>
      </c>
      <c r="C39" s="520">
        <v>0</v>
      </c>
      <c r="D39" s="520">
        <v>0</v>
      </c>
      <c r="E39" s="589">
        <v>1.5034545899835E-3</v>
      </c>
      <c r="F39" s="594">
        <f t="shared" ref="F39:F60" si="7">(C39-D39)*E39</f>
        <v>0</v>
      </c>
      <c r="G39" s="520">
        <f t="shared" ref="G39:G61" si="8">$K$40</f>
        <v>273</v>
      </c>
      <c r="H39" s="536">
        <f t="shared" ref="H39:H61" si="9">F39*G39/1000000</f>
        <v>0</v>
      </c>
      <c r="I39" s="533"/>
      <c r="J39" s="240" t="s">
        <v>438</v>
      </c>
      <c r="K39" s="241">
        <f>Summary!E5</f>
        <v>27.9</v>
      </c>
      <c r="L39" s="313"/>
      <c r="M39" s="2"/>
    </row>
    <row r="40" spans="2:13" ht="12.75" customHeight="1" x14ac:dyDescent="0.25">
      <c r="B40" s="519" t="s">
        <v>624</v>
      </c>
      <c r="C40" s="520">
        <v>30430.66779</v>
      </c>
      <c r="D40" s="520">
        <v>307.25402853954921</v>
      </c>
      <c r="E40" s="589">
        <v>1.5034545899835E-3</v>
      </c>
      <c r="F40" s="594">
        <f t="shared" si="7"/>
        <v>45.289184685639846</v>
      </c>
      <c r="G40" s="520">
        <f t="shared" si="8"/>
        <v>273</v>
      </c>
      <c r="H40" s="536">
        <f t="shared" si="9"/>
        <v>1.2363947419179677E-2</v>
      </c>
      <c r="I40" s="533"/>
      <c r="J40" s="240" t="s">
        <v>444</v>
      </c>
      <c r="K40" s="241">
        <f>Summary!E6</f>
        <v>273</v>
      </c>
      <c r="L40" s="313"/>
      <c r="M40" s="2"/>
    </row>
    <row r="41" spans="2:13" ht="12.75" customHeight="1" x14ac:dyDescent="0.25">
      <c r="B41" s="519" t="s">
        <v>625</v>
      </c>
      <c r="C41" s="520">
        <v>19576.189249999999</v>
      </c>
      <c r="D41" s="520">
        <v>19576.189249999999</v>
      </c>
      <c r="E41" s="589">
        <v>6.0138183599339984E-4</v>
      </c>
      <c r="F41" s="594">
        <f t="shared" si="7"/>
        <v>0</v>
      </c>
      <c r="G41" s="520">
        <f t="shared" si="8"/>
        <v>273</v>
      </c>
      <c r="H41" s="536">
        <f t="shared" si="9"/>
        <v>0</v>
      </c>
      <c r="I41" s="533"/>
      <c r="J41" s="240" t="s">
        <v>447</v>
      </c>
      <c r="K41" s="247">
        <f>Summary!E7</f>
        <v>24300</v>
      </c>
      <c r="L41" s="313"/>
      <c r="M41" s="2"/>
    </row>
    <row r="42" spans="2:13" ht="19.5" customHeight="1" x14ac:dyDescent="0.25">
      <c r="B42" s="538" t="s">
        <v>626</v>
      </c>
      <c r="C42" s="520">
        <v>0</v>
      </c>
      <c r="D42" s="520">
        <v>0</v>
      </c>
      <c r="E42" s="589">
        <v>6.0138183599339984E-4</v>
      </c>
      <c r="F42" s="594">
        <f t="shared" si="7"/>
        <v>0</v>
      </c>
      <c r="G42" s="520">
        <f t="shared" si="8"/>
        <v>273</v>
      </c>
      <c r="H42" s="536">
        <f t="shared" si="9"/>
        <v>0</v>
      </c>
      <c r="I42" s="533"/>
      <c r="J42" s="240"/>
      <c r="K42" s="247"/>
      <c r="L42" s="313"/>
      <c r="M42" s="2"/>
    </row>
    <row r="43" spans="2:13" ht="12.75" customHeight="1" x14ac:dyDescent="0.25">
      <c r="B43" s="538" t="s">
        <v>627</v>
      </c>
      <c r="C43" s="520">
        <v>0</v>
      </c>
      <c r="D43" s="520">
        <v>0</v>
      </c>
      <c r="E43" s="589">
        <v>6.0138183599339984E-4</v>
      </c>
      <c r="F43" s="594">
        <f t="shared" si="7"/>
        <v>0</v>
      </c>
      <c r="G43" s="520">
        <f t="shared" si="8"/>
        <v>273</v>
      </c>
      <c r="H43" s="536">
        <f t="shared" si="9"/>
        <v>0</v>
      </c>
      <c r="I43" s="533"/>
      <c r="J43" s="313"/>
      <c r="K43" s="533"/>
      <c r="L43" s="313"/>
      <c r="M43" s="2"/>
    </row>
    <row r="44" spans="2:13" ht="12.75" customHeight="1" x14ac:dyDescent="0.25">
      <c r="B44" s="519" t="s">
        <v>383</v>
      </c>
      <c r="C44" s="520">
        <v>12446.073039999999</v>
      </c>
      <c r="D44" s="520">
        <v>118.8273577409505</v>
      </c>
      <c r="E44" s="589">
        <v>6.0138183599339984E-4</v>
      </c>
      <c r="F44" s="594">
        <f t="shared" si="7"/>
        <v>7.4133816411386571</v>
      </c>
      <c r="G44" s="520">
        <f t="shared" si="8"/>
        <v>273</v>
      </c>
      <c r="H44" s="536">
        <f t="shared" si="9"/>
        <v>2.0238531880308534E-3</v>
      </c>
      <c r="I44" s="533"/>
      <c r="J44" s="313"/>
      <c r="K44" s="533"/>
      <c r="L44" s="313"/>
      <c r="M44" s="2"/>
    </row>
    <row r="45" spans="2:13" ht="19.5" customHeight="1" x14ac:dyDescent="0.25">
      <c r="B45" s="538" t="s">
        <v>628</v>
      </c>
      <c r="C45" s="520">
        <v>726.11391000000003</v>
      </c>
      <c r="D45" s="520">
        <v>715.1466275548712</v>
      </c>
      <c r="E45" s="589">
        <v>6.0138183599339984E-4</v>
      </c>
      <c r="F45" s="594">
        <f t="shared" si="7"/>
        <v>6.5955244527097596E-3</v>
      </c>
      <c r="G45" s="520">
        <f t="shared" si="8"/>
        <v>273</v>
      </c>
      <c r="H45" s="536">
        <f t="shared" si="9"/>
        <v>1.8005781755897644E-6</v>
      </c>
      <c r="I45" s="533"/>
      <c r="J45" s="313"/>
      <c r="K45" s="533"/>
      <c r="L45" s="313"/>
      <c r="M45" s="2"/>
    </row>
    <row r="46" spans="2:13" ht="19.5" customHeight="1" x14ac:dyDescent="0.25">
      <c r="B46" s="538" t="s">
        <v>629</v>
      </c>
      <c r="C46" s="520">
        <v>912.92358999999999</v>
      </c>
      <c r="D46" s="520">
        <v>661.47104106953759</v>
      </c>
      <c r="E46" s="589">
        <v>6.0138183599339984E-4</v>
      </c>
      <c r="F46" s="594">
        <f t="shared" si="7"/>
        <v>0.15121899554102169</v>
      </c>
      <c r="G46" s="520">
        <f t="shared" si="8"/>
        <v>273</v>
      </c>
      <c r="H46" s="536">
        <f t="shared" si="9"/>
        <v>4.1282785782698921E-5</v>
      </c>
      <c r="I46" s="533"/>
      <c r="J46" s="313"/>
      <c r="K46" s="533"/>
      <c r="L46" s="313"/>
      <c r="M46" s="2"/>
    </row>
    <row r="47" spans="2:13" ht="12.75" customHeight="1" x14ac:dyDescent="0.25">
      <c r="B47" s="519" t="s">
        <v>403</v>
      </c>
      <c r="C47" s="520">
        <v>172.24553</v>
      </c>
      <c r="D47" s="520">
        <v>0</v>
      </c>
      <c r="E47" s="589">
        <v>6.0138183599339984E-4</v>
      </c>
      <c r="F47" s="594">
        <f t="shared" si="7"/>
        <v>0.10358533307305623</v>
      </c>
      <c r="G47" s="520">
        <f t="shared" si="8"/>
        <v>273</v>
      </c>
      <c r="H47" s="536">
        <f t="shared" si="9"/>
        <v>2.8278795928944351E-5</v>
      </c>
      <c r="I47" s="533"/>
      <c r="J47" s="313"/>
      <c r="K47" s="533"/>
      <c r="L47" s="313"/>
      <c r="M47" s="2"/>
    </row>
    <row r="48" spans="2:13" ht="12.75" customHeight="1" x14ac:dyDescent="0.25">
      <c r="B48" s="519" t="s">
        <v>526</v>
      </c>
      <c r="C48" s="520">
        <v>3241.0028299999999</v>
      </c>
      <c r="D48" s="520">
        <v>2263.7016790260022</v>
      </c>
      <c r="E48" s="589">
        <v>6.0138183599339984E-4</v>
      </c>
      <c r="F48" s="594">
        <f t="shared" si="7"/>
        <v>0.58773116049120555</v>
      </c>
      <c r="G48" s="520">
        <f t="shared" si="8"/>
        <v>273</v>
      </c>
      <c r="H48" s="536">
        <f t="shared" si="9"/>
        <v>1.604506068140991E-4</v>
      </c>
      <c r="I48" s="533"/>
      <c r="J48" s="313"/>
      <c r="K48" s="533"/>
      <c r="L48" s="313"/>
      <c r="M48" s="2"/>
    </row>
    <row r="49" spans="2:13" ht="12.75" customHeight="1" x14ac:dyDescent="0.25">
      <c r="B49" s="519" t="s">
        <v>630</v>
      </c>
      <c r="C49" s="520">
        <v>2154.1493500000001</v>
      </c>
      <c r="D49" s="520">
        <v>2154.1493500000001</v>
      </c>
      <c r="E49" s="589">
        <v>6.0138183599339984E-4</v>
      </c>
      <c r="F49" s="594">
        <f t="shared" si="7"/>
        <v>0</v>
      </c>
      <c r="G49" s="520">
        <f t="shared" si="8"/>
        <v>273</v>
      </c>
      <c r="H49" s="536">
        <f t="shared" si="9"/>
        <v>0</v>
      </c>
      <c r="I49" s="533"/>
      <c r="J49" s="313"/>
      <c r="K49" s="533"/>
      <c r="L49" s="313"/>
      <c r="M49" s="2"/>
    </row>
    <row r="50" spans="2:13" ht="12.75" customHeight="1" x14ac:dyDescent="0.25">
      <c r="B50" s="519" t="s">
        <v>601</v>
      </c>
      <c r="C50" s="520">
        <v>5394.6696899999997</v>
      </c>
      <c r="D50" s="520">
        <v>0</v>
      </c>
      <c r="E50" s="589">
        <v>6.0138183599339984E-4</v>
      </c>
      <c r="F50" s="594">
        <f t="shared" si="7"/>
        <v>3.2442563627501451</v>
      </c>
      <c r="G50" s="520">
        <f t="shared" si="8"/>
        <v>273</v>
      </c>
      <c r="H50" s="536">
        <f t="shared" si="9"/>
        <v>8.856819870307896E-4</v>
      </c>
      <c r="I50" s="533"/>
      <c r="J50" s="313"/>
      <c r="K50" s="533"/>
      <c r="L50" s="313"/>
      <c r="M50" s="2"/>
    </row>
    <row r="51" spans="2:13" ht="19.5" customHeight="1" x14ac:dyDescent="0.25">
      <c r="B51" s="538" t="s">
        <v>632</v>
      </c>
      <c r="C51" s="520">
        <v>0</v>
      </c>
      <c r="D51" s="520">
        <v>0</v>
      </c>
      <c r="E51" s="589">
        <v>6.0138183599339984E-4</v>
      </c>
      <c r="F51" s="594">
        <f t="shared" si="7"/>
        <v>0</v>
      </c>
      <c r="G51" s="520">
        <f t="shared" si="8"/>
        <v>273</v>
      </c>
      <c r="H51" s="536">
        <f t="shared" si="9"/>
        <v>0</v>
      </c>
      <c r="I51" s="533"/>
      <c r="J51" s="313"/>
      <c r="K51" s="533"/>
      <c r="L51" s="313"/>
      <c r="M51" s="2"/>
    </row>
    <row r="52" spans="2:13" ht="12.75" customHeight="1" x14ac:dyDescent="0.25">
      <c r="B52" s="519" t="s">
        <v>633</v>
      </c>
      <c r="C52" s="520">
        <v>157.07159999999999</v>
      </c>
      <c r="D52" s="520">
        <v>157.07159999999999</v>
      </c>
      <c r="E52" s="589">
        <v>6.0138183599339984E-4</v>
      </c>
      <c r="F52" s="594">
        <f t="shared" si="7"/>
        <v>0</v>
      </c>
      <c r="G52" s="520">
        <f t="shared" si="8"/>
        <v>273</v>
      </c>
      <c r="H52" s="536">
        <f t="shared" si="9"/>
        <v>0</v>
      </c>
      <c r="I52" s="533"/>
      <c r="J52" s="313"/>
      <c r="K52" s="533"/>
      <c r="L52" s="313"/>
      <c r="M52" s="2"/>
    </row>
    <row r="53" spans="2:13" ht="12.75" customHeight="1" x14ac:dyDescent="0.25">
      <c r="B53" s="519" t="s">
        <v>637</v>
      </c>
      <c r="C53" s="520">
        <v>0</v>
      </c>
      <c r="D53" s="520">
        <v>0</v>
      </c>
      <c r="E53" s="589">
        <v>6.0138183599339984E-4</v>
      </c>
      <c r="F53" s="594">
        <f t="shared" si="7"/>
        <v>0</v>
      </c>
      <c r="G53" s="520">
        <f t="shared" si="8"/>
        <v>273</v>
      </c>
      <c r="H53" s="536">
        <f t="shared" si="9"/>
        <v>0</v>
      </c>
      <c r="I53" s="533"/>
      <c r="J53" s="313"/>
      <c r="K53" s="533"/>
      <c r="L53" s="313"/>
      <c r="M53" s="2"/>
    </row>
    <row r="54" spans="2:13" ht="12.75" customHeight="1" x14ac:dyDescent="0.25">
      <c r="B54" s="519" t="s">
        <v>640</v>
      </c>
      <c r="C54" s="520">
        <v>161.77572000000001</v>
      </c>
      <c r="D54" s="520">
        <v>122.04430006839266</v>
      </c>
      <c r="E54" s="589">
        <v>6.0138183599339984E-4</v>
      </c>
      <c r="F54" s="594">
        <f t="shared" si="7"/>
        <v>2.389375426509479E-2</v>
      </c>
      <c r="G54" s="520">
        <f t="shared" si="8"/>
        <v>273</v>
      </c>
      <c r="H54" s="536">
        <f t="shared" si="9"/>
        <v>6.5229949143708776E-6</v>
      </c>
      <c r="I54" s="533"/>
      <c r="J54" s="313"/>
      <c r="K54" s="533"/>
      <c r="L54" s="313"/>
      <c r="M54" s="2"/>
    </row>
    <row r="55" spans="2:13" ht="12.75" customHeight="1" x14ac:dyDescent="0.25">
      <c r="B55" s="519" t="s">
        <v>392</v>
      </c>
      <c r="C55" s="520">
        <v>4766.90751</v>
      </c>
      <c r="D55" s="520">
        <v>0</v>
      </c>
      <c r="E55" s="589">
        <v>6.0138183599339984E-4</v>
      </c>
      <c r="F55" s="594">
        <f t="shared" si="7"/>
        <v>2.8667315903745259</v>
      </c>
      <c r="G55" s="520">
        <f t="shared" si="8"/>
        <v>273</v>
      </c>
      <c r="H55" s="536">
        <f t="shared" si="9"/>
        <v>7.8261772417224549E-4</v>
      </c>
      <c r="I55" s="533"/>
      <c r="J55" s="313"/>
      <c r="K55" s="533"/>
      <c r="L55" s="313"/>
      <c r="M55" s="2"/>
    </row>
    <row r="56" spans="2:13" ht="12.75" customHeight="1" x14ac:dyDescent="0.25">
      <c r="B56" s="519" t="s">
        <v>643</v>
      </c>
      <c r="C56" s="520">
        <v>0</v>
      </c>
      <c r="D56" s="520">
        <v>0</v>
      </c>
      <c r="E56" s="589">
        <v>6.0138183599339984E-4</v>
      </c>
      <c r="F56" s="594">
        <f t="shared" si="7"/>
        <v>0</v>
      </c>
      <c r="G56" s="520">
        <f t="shared" si="8"/>
        <v>273</v>
      </c>
      <c r="H56" s="536">
        <f t="shared" si="9"/>
        <v>0</v>
      </c>
      <c r="I56" s="533"/>
      <c r="J56" s="313"/>
      <c r="K56" s="533"/>
      <c r="L56" s="313"/>
      <c r="M56" s="2"/>
    </row>
    <row r="57" spans="2:13" ht="12.75" customHeight="1" x14ac:dyDescent="0.25">
      <c r="B57" s="519" t="s">
        <v>646</v>
      </c>
      <c r="C57" s="520">
        <v>3076.9398200000001</v>
      </c>
      <c r="D57" s="520">
        <v>3034.4904438139852</v>
      </c>
      <c r="E57" s="589">
        <v>6.0138183599339984E-4</v>
      </c>
      <c r="F57" s="594">
        <f t="shared" si="7"/>
        <v>2.5528283787520138E-2</v>
      </c>
      <c r="G57" s="520">
        <f t="shared" si="8"/>
        <v>273</v>
      </c>
      <c r="H57" s="536">
        <f t="shared" si="9"/>
        <v>6.9692214739929975E-6</v>
      </c>
      <c r="I57" s="533"/>
      <c r="J57" s="313"/>
      <c r="K57" s="533"/>
      <c r="L57" s="313"/>
      <c r="M57" s="2"/>
    </row>
    <row r="58" spans="2:13" ht="12.75" customHeight="1" x14ac:dyDescent="0.25">
      <c r="B58" s="519" t="s">
        <v>648</v>
      </c>
      <c r="C58" s="520">
        <v>0</v>
      </c>
      <c r="D58" s="520">
        <v>0</v>
      </c>
      <c r="E58" s="589">
        <v>6.0138183599339984E-4</v>
      </c>
      <c r="F58" s="594">
        <f t="shared" si="7"/>
        <v>0</v>
      </c>
      <c r="G58" s="520">
        <f t="shared" si="8"/>
        <v>273</v>
      </c>
      <c r="H58" s="536">
        <f t="shared" si="9"/>
        <v>0</v>
      </c>
      <c r="I58" s="533"/>
      <c r="J58" s="313"/>
      <c r="K58" s="533"/>
      <c r="L58" s="313"/>
      <c r="M58" s="2"/>
    </row>
    <row r="59" spans="2:13" ht="12.75" customHeight="1" x14ac:dyDescent="0.25">
      <c r="B59" s="519" t="s">
        <v>649</v>
      </c>
      <c r="C59" s="520">
        <v>241.17277999999999</v>
      </c>
      <c r="D59" s="520">
        <v>241.17277999999999</v>
      </c>
      <c r="E59" s="589">
        <v>6.0138183599339984E-4</v>
      </c>
      <c r="F59" s="594">
        <f t="shared" si="7"/>
        <v>0</v>
      </c>
      <c r="G59" s="520">
        <f t="shared" si="8"/>
        <v>273</v>
      </c>
      <c r="H59" s="536">
        <f t="shared" si="9"/>
        <v>0</v>
      </c>
      <c r="I59" s="533"/>
      <c r="J59" s="313"/>
      <c r="K59" s="533"/>
      <c r="L59" s="313"/>
      <c r="M59" s="2"/>
    </row>
    <row r="60" spans="2:13" ht="12.75" customHeight="1" x14ac:dyDescent="0.25">
      <c r="B60" s="519" t="s">
        <v>63</v>
      </c>
      <c r="C60" s="520">
        <v>23810.834429999999</v>
      </c>
      <c r="D60" s="520">
        <v>1279.7490342444869</v>
      </c>
      <c r="E60" s="589">
        <v>9.4955026735800017E-5</v>
      </c>
      <c r="F60" s="594">
        <f t="shared" si="7"/>
        <v>2.1394398161405581</v>
      </c>
      <c r="G60" s="520">
        <f t="shared" si="8"/>
        <v>273</v>
      </c>
      <c r="H60" s="536">
        <f t="shared" si="9"/>
        <v>5.8406706980637234E-4</v>
      </c>
      <c r="I60" s="533"/>
      <c r="J60" s="313"/>
      <c r="K60" s="533"/>
      <c r="L60" s="313"/>
      <c r="M60" s="2"/>
    </row>
    <row r="61" spans="2:13" ht="12.75" customHeight="1" x14ac:dyDescent="0.25">
      <c r="B61" s="302" t="s">
        <v>103</v>
      </c>
      <c r="C61" s="520">
        <v>12165.362289999999</v>
      </c>
      <c r="D61" s="525" t="s">
        <v>708</v>
      </c>
      <c r="E61" s="589">
        <v>3.7982010694320003E-3</v>
      </c>
      <c r="F61" s="594">
        <f>C61*E61</f>
        <v>46.206492059905727</v>
      </c>
      <c r="G61" s="520">
        <f t="shared" si="8"/>
        <v>273</v>
      </c>
      <c r="H61" s="536">
        <f t="shared" si="9"/>
        <v>1.2614372332354264E-2</v>
      </c>
      <c r="I61" s="533"/>
      <c r="J61" s="313"/>
      <c r="K61" s="533"/>
      <c r="L61" s="313"/>
      <c r="M61" s="2"/>
    </row>
    <row r="62" spans="2:13" ht="14.25" customHeight="1" x14ac:dyDescent="0.3">
      <c r="B62" s="385"/>
      <c r="C62" s="553"/>
      <c r="D62" s="553"/>
      <c r="E62" s="553"/>
      <c r="F62" s="553"/>
      <c r="G62" s="642" t="s">
        <v>95</v>
      </c>
      <c r="H62" s="646">
        <f>SUM(H39:H61)</f>
        <v>2.9499844703663902E-2</v>
      </c>
      <c r="I62" s="53"/>
      <c r="J62" s="351"/>
      <c r="K62" s="53"/>
      <c r="L62" s="351"/>
      <c r="M62" s="2"/>
    </row>
    <row r="63" spans="2:13" ht="12" customHeight="1" x14ac:dyDescent="0.2">
      <c r="B63" s="394"/>
      <c r="C63" s="395"/>
      <c r="D63" s="395"/>
      <c r="E63" s="395"/>
      <c r="F63" s="395"/>
      <c r="G63" s="395"/>
      <c r="H63" s="396"/>
    </row>
    <row r="64" spans="2:13" ht="12" customHeight="1" x14ac:dyDescent="0.2"/>
    <row r="65" spans="2:13" ht="11.25" customHeight="1" x14ac:dyDescent="0.2"/>
    <row r="66" spans="2:13" ht="21.75" customHeight="1" x14ac:dyDescent="0.4">
      <c r="B66" s="328" t="s">
        <v>723</v>
      </c>
      <c r="C66" s="496"/>
      <c r="D66" s="328">
        <v>2006</v>
      </c>
      <c r="E66" s="2"/>
      <c r="F66" s="2"/>
      <c r="G66" s="2"/>
      <c r="H66" s="2"/>
      <c r="I66" s="2"/>
      <c r="J66" s="2"/>
      <c r="K66" s="2"/>
      <c r="L66" s="2"/>
      <c r="M66" s="2"/>
    </row>
    <row r="67" spans="2:13" ht="21.75" customHeight="1" x14ac:dyDescent="0.4">
      <c r="B67" s="657"/>
      <c r="C67" s="658" t="s">
        <v>609</v>
      </c>
      <c r="D67" s="658" t="s">
        <v>610</v>
      </c>
      <c r="E67" s="553"/>
      <c r="F67" s="553"/>
      <c r="G67" s="553"/>
      <c r="H67" s="662"/>
      <c r="I67" s="2"/>
      <c r="J67" s="2"/>
      <c r="K67" s="2"/>
      <c r="L67" s="2"/>
      <c r="M67" s="2"/>
    </row>
    <row r="68" spans="2:13" ht="11.25" customHeight="1" x14ac:dyDescent="0.2">
      <c r="B68" s="665"/>
      <c r="C68" s="658" t="s">
        <v>351</v>
      </c>
      <c r="D68" s="658" t="s">
        <v>351</v>
      </c>
      <c r="E68" s="670" t="s">
        <v>354</v>
      </c>
      <c r="F68" s="670" t="s">
        <v>356</v>
      </c>
      <c r="G68" s="658" t="s">
        <v>414</v>
      </c>
      <c r="H68" s="332" t="s">
        <v>356</v>
      </c>
      <c r="I68" s="2"/>
      <c r="J68" s="297"/>
      <c r="K68" s="2"/>
      <c r="L68" s="297"/>
      <c r="M68" s="2"/>
    </row>
    <row r="69" spans="2:13" ht="12" customHeight="1" x14ac:dyDescent="0.2">
      <c r="B69" s="672" t="s">
        <v>20</v>
      </c>
      <c r="C69" s="658" t="s">
        <v>362</v>
      </c>
      <c r="D69" s="658" t="s">
        <v>362</v>
      </c>
      <c r="E69" s="670" t="s">
        <v>418</v>
      </c>
      <c r="F69" s="670" t="s">
        <v>419</v>
      </c>
      <c r="G69" s="658"/>
      <c r="H69" s="675" t="s">
        <v>564</v>
      </c>
      <c r="I69" s="2"/>
      <c r="J69" s="515"/>
      <c r="K69" s="2"/>
      <c r="L69" s="297"/>
      <c r="M69" s="2"/>
    </row>
    <row r="70" spans="2:13" ht="12.75" customHeight="1" x14ac:dyDescent="0.25">
      <c r="B70" s="679" t="s">
        <v>619</v>
      </c>
      <c r="C70" s="680">
        <v>0</v>
      </c>
      <c r="D70" s="682">
        <v>0</v>
      </c>
      <c r="E70" s="684">
        <v>1.0023030599889999E-2</v>
      </c>
      <c r="F70" s="690">
        <f t="shared" ref="F70:F91" si="10">(C70-D70)*E70</f>
        <v>0</v>
      </c>
      <c r="G70" s="680">
        <f t="shared" ref="G70:G92" si="11">$K$39</f>
        <v>27.9</v>
      </c>
      <c r="H70" s="692">
        <f t="shared" ref="H70:H92" si="12">F70*G70/1000000</f>
        <v>0</v>
      </c>
      <c r="I70" s="533"/>
      <c r="J70" s="313"/>
      <c r="K70" s="533"/>
      <c r="L70" s="313"/>
      <c r="M70" s="2"/>
    </row>
    <row r="71" spans="2:13" ht="12.75" customHeight="1" x14ac:dyDescent="0.25">
      <c r="B71" s="695" t="s">
        <v>624</v>
      </c>
      <c r="C71" s="520">
        <v>30430.66779</v>
      </c>
      <c r="D71" s="697">
        <v>307.25402853954921</v>
      </c>
      <c r="E71" s="589">
        <v>1.0023030599889999E-2</v>
      </c>
      <c r="F71" s="698">
        <f t="shared" si="10"/>
        <v>301.92789790426559</v>
      </c>
      <c r="G71" s="520">
        <f t="shared" si="11"/>
        <v>27.9</v>
      </c>
      <c r="H71" s="701">
        <f t="shared" si="12"/>
        <v>8.4237883515290105E-3</v>
      </c>
      <c r="I71" s="533"/>
      <c r="J71" s="313"/>
      <c r="K71" s="533"/>
      <c r="L71" s="313"/>
      <c r="M71" s="2"/>
    </row>
    <row r="72" spans="2:13" ht="12.75" customHeight="1" x14ac:dyDescent="0.25">
      <c r="B72" s="695" t="s">
        <v>625</v>
      </c>
      <c r="C72" s="520">
        <v>19576.189249999999</v>
      </c>
      <c r="D72" s="697">
        <v>19576.189249999999</v>
      </c>
      <c r="E72" s="589">
        <v>3.006909179967E-3</v>
      </c>
      <c r="F72" s="698">
        <f t="shared" si="10"/>
        <v>0</v>
      </c>
      <c r="G72" s="520">
        <f t="shared" si="11"/>
        <v>27.9</v>
      </c>
      <c r="H72" s="701">
        <f t="shared" si="12"/>
        <v>0</v>
      </c>
      <c r="I72" s="533"/>
      <c r="J72" s="313"/>
      <c r="K72" s="533"/>
      <c r="L72" s="313"/>
      <c r="M72" s="2"/>
    </row>
    <row r="73" spans="2:13" ht="25.5" customHeight="1" x14ac:dyDescent="0.25">
      <c r="B73" s="705" t="s">
        <v>626</v>
      </c>
      <c r="C73" s="520">
        <v>0</v>
      </c>
      <c r="D73" s="697">
        <v>0</v>
      </c>
      <c r="E73" s="589">
        <v>3.006909179967E-3</v>
      </c>
      <c r="F73" s="698">
        <f t="shared" si="10"/>
        <v>0</v>
      </c>
      <c r="G73" s="520">
        <f t="shared" si="11"/>
        <v>27.9</v>
      </c>
      <c r="H73" s="701">
        <f t="shared" si="12"/>
        <v>0</v>
      </c>
      <c r="I73" s="533"/>
      <c r="J73" s="313"/>
      <c r="K73" s="533"/>
      <c r="L73" s="313"/>
      <c r="M73" s="2"/>
    </row>
    <row r="74" spans="2:13" ht="12.75" customHeight="1" x14ac:dyDescent="0.25">
      <c r="B74" s="705" t="s">
        <v>627</v>
      </c>
      <c r="C74" s="520">
        <v>0</v>
      </c>
      <c r="D74" s="697">
        <v>0</v>
      </c>
      <c r="E74" s="589">
        <v>3.006909179967E-3</v>
      </c>
      <c r="F74" s="698">
        <f t="shared" si="10"/>
        <v>0</v>
      </c>
      <c r="G74" s="520">
        <f t="shared" si="11"/>
        <v>27.9</v>
      </c>
      <c r="H74" s="701">
        <f t="shared" si="12"/>
        <v>0</v>
      </c>
      <c r="I74" s="533"/>
      <c r="J74" s="313"/>
      <c r="K74" s="533"/>
      <c r="L74" s="313"/>
      <c r="M74" s="2"/>
    </row>
    <row r="75" spans="2:13" ht="12.75" customHeight="1" x14ac:dyDescent="0.25">
      <c r="B75" s="695" t="s">
        <v>383</v>
      </c>
      <c r="C75" s="520">
        <v>12446.073039999999</v>
      </c>
      <c r="D75" s="697">
        <v>118.8273577409505</v>
      </c>
      <c r="E75" s="589">
        <v>3.006909179967E-3</v>
      </c>
      <c r="F75" s="698">
        <f t="shared" si="10"/>
        <v>37.066908205693295</v>
      </c>
      <c r="G75" s="520">
        <f t="shared" si="11"/>
        <v>27.9</v>
      </c>
      <c r="H75" s="701">
        <f t="shared" si="12"/>
        <v>1.0341667389388428E-3</v>
      </c>
      <c r="I75" s="533"/>
      <c r="J75" s="313"/>
      <c r="K75" s="533"/>
      <c r="L75" s="313"/>
      <c r="M75" s="2"/>
    </row>
    <row r="76" spans="2:13" ht="25.5" customHeight="1" x14ac:dyDescent="0.25">
      <c r="B76" s="705" t="s">
        <v>628</v>
      </c>
      <c r="C76" s="520">
        <v>726.11391000000003</v>
      </c>
      <c r="D76" s="697">
        <v>715.1466275548712</v>
      </c>
      <c r="E76" s="589">
        <v>3.006909179967E-3</v>
      </c>
      <c r="F76" s="698">
        <f t="shared" si="10"/>
        <v>3.2977622263548806E-2</v>
      </c>
      <c r="G76" s="520">
        <f t="shared" si="11"/>
        <v>27.9</v>
      </c>
      <c r="H76" s="701">
        <f t="shared" si="12"/>
        <v>9.2007566115301163E-7</v>
      </c>
      <c r="I76" s="533"/>
      <c r="J76" s="313"/>
      <c r="K76" s="533"/>
      <c r="L76" s="313"/>
      <c r="M76" s="2"/>
    </row>
    <row r="77" spans="2:13" ht="25.5" customHeight="1" x14ac:dyDescent="0.25">
      <c r="B77" s="705" t="s">
        <v>629</v>
      </c>
      <c r="C77" s="520">
        <v>912.92358999999999</v>
      </c>
      <c r="D77" s="697">
        <v>661.47104106953759</v>
      </c>
      <c r="E77" s="589">
        <v>3.006909179967E-3</v>
      </c>
      <c r="F77" s="698">
        <f t="shared" si="10"/>
        <v>0.75609497770510858</v>
      </c>
      <c r="G77" s="520">
        <f t="shared" si="11"/>
        <v>27.9</v>
      </c>
      <c r="H77" s="701">
        <f t="shared" si="12"/>
        <v>2.1095049877972528E-5</v>
      </c>
      <c r="I77" s="533"/>
      <c r="J77" s="313"/>
      <c r="K77" s="533"/>
      <c r="L77" s="313"/>
      <c r="M77" s="2"/>
    </row>
    <row r="78" spans="2:13" ht="12.75" customHeight="1" x14ac:dyDescent="0.25">
      <c r="B78" s="695" t="s">
        <v>403</v>
      </c>
      <c r="C78" s="520">
        <v>172.24553</v>
      </c>
      <c r="D78" s="697">
        <v>0</v>
      </c>
      <c r="E78" s="589">
        <v>3.006909179967E-3</v>
      </c>
      <c r="F78" s="698">
        <f t="shared" si="10"/>
        <v>0.51792666536528131</v>
      </c>
      <c r="G78" s="520">
        <f t="shared" si="11"/>
        <v>27.9</v>
      </c>
      <c r="H78" s="701">
        <f t="shared" si="12"/>
        <v>1.4450153963691347E-5</v>
      </c>
      <c r="I78" s="533"/>
      <c r="J78" s="313"/>
      <c r="K78" s="533"/>
      <c r="L78" s="313"/>
      <c r="M78" s="2"/>
    </row>
    <row r="79" spans="2:13" ht="12.75" customHeight="1" x14ac:dyDescent="0.25">
      <c r="B79" s="695" t="s">
        <v>526</v>
      </c>
      <c r="C79" s="520">
        <v>3241.0028299999999</v>
      </c>
      <c r="D79" s="697">
        <v>2263.7016790260022</v>
      </c>
      <c r="E79" s="589">
        <v>3.006909179967E-3</v>
      </c>
      <c r="F79" s="698">
        <f t="shared" si="10"/>
        <v>2.9386558024560285</v>
      </c>
      <c r="G79" s="520">
        <f t="shared" si="11"/>
        <v>27.9</v>
      </c>
      <c r="H79" s="701">
        <f t="shared" si="12"/>
        <v>8.1988496888523181E-5</v>
      </c>
      <c r="I79" s="533"/>
      <c r="J79" s="313"/>
      <c r="K79" s="533"/>
      <c r="L79" s="313"/>
      <c r="M79" s="2"/>
    </row>
    <row r="80" spans="2:13" ht="12.75" customHeight="1" x14ac:dyDescent="0.25">
      <c r="B80" s="695" t="s">
        <v>630</v>
      </c>
      <c r="C80" s="520">
        <v>2154.1493500000001</v>
      </c>
      <c r="D80" s="697">
        <v>2154.1493500000001</v>
      </c>
      <c r="E80" s="589">
        <v>3.006909179967E-3</v>
      </c>
      <c r="F80" s="698">
        <f t="shared" si="10"/>
        <v>0</v>
      </c>
      <c r="G80" s="520">
        <f t="shared" si="11"/>
        <v>27.9</v>
      </c>
      <c r="H80" s="701">
        <f t="shared" si="12"/>
        <v>0</v>
      </c>
      <c r="I80" s="533"/>
      <c r="J80" s="313"/>
      <c r="K80" s="533"/>
      <c r="L80" s="313"/>
      <c r="M80" s="2"/>
    </row>
    <row r="81" spans="2:13" ht="12.75" customHeight="1" x14ac:dyDescent="0.25">
      <c r="B81" s="695" t="s">
        <v>601</v>
      </c>
      <c r="C81" s="520">
        <v>5394.6696899999997</v>
      </c>
      <c r="D81" s="697">
        <v>0</v>
      </c>
      <c r="E81" s="589">
        <v>3.006909179967E-3</v>
      </c>
      <c r="F81" s="698">
        <f t="shared" si="10"/>
        <v>16.221281813750728</v>
      </c>
      <c r="G81" s="520">
        <f t="shared" si="11"/>
        <v>27.9</v>
      </c>
      <c r="H81" s="701">
        <f t="shared" si="12"/>
        <v>4.5257376260364533E-4</v>
      </c>
      <c r="I81" s="533"/>
      <c r="J81" s="313"/>
      <c r="K81" s="533"/>
      <c r="L81" s="313"/>
      <c r="M81" s="2"/>
    </row>
    <row r="82" spans="2:13" ht="25.5" customHeight="1" x14ac:dyDescent="0.25">
      <c r="B82" s="705" t="s">
        <v>632</v>
      </c>
      <c r="C82" s="520">
        <v>0</v>
      </c>
      <c r="D82" s="697">
        <v>0</v>
      </c>
      <c r="E82" s="589">
        <v>3.006909179967E-3</v>
      </c>
      <c r="F82" s="698">
        <f t="shared" si="10"/>
        <v>0</v>
      </c>
      <c r="G82" s="520">
        <f t="shared" si="11"/>
        <v>27.9</v>
      </c>
      <c r="H82" s="701">
        <f t="shared" si="12"/>
        <v>0</v>
      </c>
      <c r="I82" s="533"/>
      <c r="J82" s="313"/>
      <c r="K82" s="533"/>
      <c r="L82" s="313"/>
      <c r="M82" s="2"/>
    </row>
    <row r="83" spans="2:13" ht="12.75" customHeight="1" x14ac:dyDescent="0.25">
      <c r="B83" s="695" t="s">
        <v>633</v>
      </c>
      <c r="C83" s="520">
        <v>157.07159999999999</v>
      </c>
      <c r="D83" s="697">
        <v>157.07159999999999</v>
      </c>
      <c r="E83" s="589">
        <v>3.006909179967E-3</v>
      </c>
      <c r="F83" s="724">
        <f t="shared" si="10"/>
        <v>0</v>
      </c>
      <c r="G83" s="520">
        <f t="shared" si="11"/>
        <v>27.9</v>
      </c>
      <c r="H83" s="726">
        <f t="shared" si="12"/>
        <v>0</v>
      </c>
      <c r="I83" s="533"/>
      <c r="J83" s="313"/>
      <c r="K83" s="533"/>
      <c r="L83" s="313"/>
      <c r="M83" s="2"/>
    </row>
    <row r="84" spans="2:13" ht="12.75" customHeight="1" x14ac:dyDescent="0.25">
      <c r="B84" s="695" t="s">
        <v>637</v>
      </c>
      <c r="C84" s="520">
        <v>0</v>
      </c>
      <c r="D84" s="697">
        <v>0</v>
      </c>
      <c r="E84" s="589">
        <v>3.006909179967E-3</v>
      </c>
      <c r="F84" s="698">
        <f t="shared" si="10"/>
        <v>0</v>
      </c>
      <c r="G84" s="520">
        <f t="shared" si="11"/>
        <v>27.9</v>
      </c>
      <c r="H84" s="701">
        <f t="shared" si="12"/>
        <v>0</v>
      </c>
      <c r="I84" s="533"/>
      <c r="J84" s="313"/>
      <c r="K84" s="533"/>
      <c r="L84" s="313"/>
      <c r="M84" s="2"/>
    </row>
    <row r="85" spans="2:13" ht="12.75" customHeight="1" x14ac:dyDescent="0.25">
      <c r="B85" s="695" t="s">
        <v>640</v>
      </c>
      <c r="C85" s="520">
        <v>161.77572000000001</v>
      </c>
      <c r="D85" s="697">
        <v>122.04430006839266</v>
      </c>
      <c r="E85" s="589">
        <v>3.006909179967E-3</v>
      </c>
      <c r="F85" s="698">
        <f t="shared" si="10"/>
        <v>0.11946877132547397</v>
      </c>
      <c r="G85" s="520">
        <f t="shared" si="11"/>
        <v>27.9</v>
      </c>
      <c r="H85" s="701">
        <f t="shared" si="12"/>
        <v>3.3331787199807237E-6</v>
      </c>
      <c r="I85" s="533"/>
      <c r="J85" s="313"/>
      <c r="K85" s="533"/>
      <c r="L85" s="313"/>
      <c r="M85" s="2"/>
    </row>
    <row r="86" spans="2:13" ht="12.75" customHeight="1" x14ac:dyDescent="0.25">
      <c r="B86" s="695" t="s">
        <v>392</v>
      </c>
      <c r="C86" s="520">
        <v>4766.90751</v>
      </c>
      <c r="D86" s="697">
        <v>0</v>
      </c>
      <c r="E86" s="589">
        <v>3.006909179967E-3</v>
      </c>
      <c r="F86" s="698">
        <f t="shared" si="10"/>
        <v>14.333657951872633</v>
      </c>
      <c r="G86" s="520">
        <f t="shared" si="11"/>
        <v>27.9</v>
      </c>
      <c r="H86" s="701">
        <f t="shared" si="12"/>
        <v>3.9990905685724639E-4</v>
      </c>
      <c r="I86" s="533"/>
      <c r="J86" s="313"/>
      <c r="K86" s="533"/>
      <c r="L86" s="313"/>
      <c r="M86" s="2"/>
    </row>
    <row r="87" spans="2:13" ht="12.75" customHeight="1" x14ac:dyDescent="0.25">
      <c r="B87" s="695" t="s">
        <v>643</v>
      </c>
      <c r="C87" s="520">
        <v>0</v>
      </c>
      <c r="D87" s="697">
        <v>0</v>
      </c>
      <c r="E87" s="589">
        <v>3.006909179967E-3</v>
      </c>
      <c r="F87" s="698">
        <f t="shared" si="10"/>
        <v>0</v>
      </c>
      <c r="G87" s="520">
        <f t="shared" si="11"/>
        <v>27.9</v>
      </c>
      <c r="H87" s="701">
        <f t="shared" si="12"/>
        <v>0</v>
      </c>
      <c r="I87" s="533"/>
      <c r="J87" s="313"/>
      <c r="K87" s="533"/>
      <c r="L87" s="313"/>
      <c r="M87" s="2"/>
    </row>
    <row r="88" spans="2:13" ht="12.75" customHeight="1" x14ac:dyDescent="0.25">
      <c r="B88" s="695" t="s">
        <v>646</v>
      </c>
      <c r="C88" s="520">
        <v>3076.9398200000001</v>
      </c>
      <c r="D88" s="697">
        <v>3034.4904438139852</v>
      </c>
      <c r="E88" s="589">
        <v>3.006909179967E-3</v>
      </c>
      <c r="F88" s="698">
        <f t="shared" si="10"/>
        <v>0.12764141893760073</v>
      </c>
      <c r="G88" s="520">
        <f t="shared" si="11"/>
        <v>27.9</v>
      </c>
      <c r="H88" s="701">
        <f t="shared" si="12"/>
        <v>3.5611955883590602E-6</v>
      </c>
      <c r="I88" s="533"/>
      <c r="J88" s="313"/>
      <c r="K88" s="533"/>
      <c r="L88" s="313"/>
      <c r="M88" s="2"/>
    </row>
    <row r="89" spans="2:13" ht="12.75" customHeight="1" x14ac:dyDescent="0.25">
      <c r="B89" s="695" t="s">
        <v>648</v>
      </c>
      <c r="C89" s="520">
        <v>0</v>
      </c>
      <c r="D89" s="697">
        <v>0</v>
      </c>
      <c r="E89" s="589">
        <v>3.006909179967E-3</v>
      </c>
      <c r="F89" s="698">
        <f t="shared" si="10"/>
        <v>0</v>
      </c>
      <c r="G89" s="520">
        <f t="shared" si="11"/>
        <v>27.9</v>
      </c>
      <c r="H89" s="701">
        <f t="shared" si="12"/>
        <v>0</v>
      </c>
      <c r="I89" s="533"/>
      <c r="J89" s="313"/>
      <c r="K89" s="533"/>
      <c r="L89" s="313"/>
      <c r="M89" s="2"/>
    </row>
    <row r="90" spans="2:13" ht="12.75" customHeight="1" x14ac:dyDescent="0.25">
      <c r="B90" s="695" t="s">
        <v>649</v>
      </c>
      <c r="C90" s="520">
        <v>241.17277999999999</v>
      </c>
      <c r="D90" s="697">
        <v>241.17277999999999</v>
      </c>
      <c r="E90" s="589">
        <v>3.006909179967E-3</v>
      </c>
      <c r="F90" s="698">
        <f t="shared" si="10"/>
        <v>0</v>
      </c>
      <c r="G90" s="520">
        <f t="shared" si="11"/>
        <v>27.9</v>
      </c>
      <c r="H90" s="701">
        <f t="shared" si="12"/>
        <v>0</v>
      </c>
      <c r="I90" s="533"/>
      <c r="J90" s="313"/>
      <c r="K90" s="533"/>
      <c r="L90" s="313"/>
      <c r="M90" s="2"/>
    </row>
    <row r="91" spans="2:13" ht="12.75" customHeight="1" x14ac:dyDescent="0.25">
      <c r="B91" s="695" t="s">
        <v>63</v>
      </c>
      <c r="C91" s="520">
        <v>23810.834429999999</v>
      </c>
      <c r="D91" s="697">
        <v>1279.7490342444869</v>
      </c>
      <c r="E91" s="589">
        <v>9.4955026735800007E-4</v>
      </c>
      <c r="F91" s="698">
        <f t="shared" si="10"/>
        <v>21.394398161405576</v>
      </c>
      <c r="G91" s="520">
        <f t="shared" si="11"/>
        <v>27.9</v>
      </c>
      <c r="H91" s="701">
        <f t="shared" si="12"/>
        <v>5.9690370870321555E-4</v>
      </c>
      <c r="I91" s="533"/>
      <c r="J91" s="313"/>
      <c r="K91" s="533"/>
      <c r="L91" s="313"/>
      <c r="M91" s="2"/>
    </row>
    <row r="92" spans="2:13" ht="12.75" customHeight="1" x14ac:dyDescent="0.25">
      <c r="B92" s="748" t="s">
        <v>103</v>
      </c>
      <c r="C92" s="520">
        <v>12165.362289999999</v>
      </c>
      <c r="D92" s="697" t="s">
        <v>708</v>
      </c>
      <c r="E92" s="589">
        <v>2.8486508020740004E-2</v>
      </c>
      <c r="F92" s="698">
        <f>C92*E92</f>
        <v>346.54869044929296</v>
      </c>
      <c r="G92" s="520">
        <f t="shared" si="11"/>
        <v>27.9</v>
      </c>
      <c r="H92" s="701">
        <f t="shared" si="12"/>
        <v>9.6687084635352725E-3</v>
      </c>
      <c r="I92" s="533"/>
      <c r="J92" s="313"/>
      <c r="K92" s="533"/>
      <c r="L92" s="313"/>
      <c r="M92" s="2"/>
    </row>
    <row r="93" spans="2:13" ht="14.25" customHeight="1" x14ac:dyDescent="0.3">
      <c r="B93" s="752"/>
      <c r="C93" s="754"/>
      <c r="D93" s="754"/>
      <c r="E93" s="754"/>
      <c r="F93" s="754"/>
      <c r="G93" s="757" t="s">
        <v>95</v>
      </c>
      <c r="H93" s="762">
        <f>SUM(H70:H92)</f>
        <v>2.0701398232866909E-2</v>
      </c>
      <c r="I93" s="53"/>
      <c r="J93" s="351"/>
      <c r="K93" s="53"/>
      <c r="L93" s="351"/>
      <c r="M93" s="2"/>
    </row>
    <row r="94" spans="2:13" ht="12" customHeight="1" x14ac:dyDescent="0.2">
      <c r="B94" s="767"/>
      <c r="C94" s="770"/>
      <c r="D94" s="770"/>
      <c r="E94" s="770"/>
      <c r="F94" s="770"/>
      <c r="G94" s="770"/>
      <c r="H94" s="771"/>
      <c r="I94" s="2"/>
      <c r="J94" s="2"/>
      <c r="K94" s="2"/>
      <c r="L94" s="2"/>
      <c r="M94" s="2"/>
    </row>
    <row r="95" spans="2:13" ht="12" customHeight="1" x14ac:dyDescent="0.2"/>
    <row r="96" spans="2:13" ht="11.25" customHeight="1" x14ac:dyDescent="0.2"/>
    <row r="97" spans="1:16" ht="21.75" customHeight="1" x14ac:dyDescent="0.4">
      <c r="B97" s="377" t="s">
        <v>807</v>
      </c>
      <c r="C97" s="775"/>
      <c r="D97" s="377">
        <v>2006</v>
      </c>
      <c r="E97" s="2"/>
      <c r="F97" s="2"/>
      <c r="G97" s="2"/>
      <c r="H97" s="2"/>
    </row>
    <row r="98" spans="1:16" s="1909" customFormat="1" ht="12.75" x14ac:dyDescent="0.25">
      <c r="B98" s="1910"/>
      <c r="C98" s="1908"/>
      <c r="D98" s="1910"/>
      <c r="E98" s="2"/>
      <c r="F98" s="2"/>
      <c r="G98" s="2"/>
      <c r="H98" s="2"/>
    </row>
    <row r="99" spans="1:16" ht="21.75" customHeight="1" x14ac:dyDescent="0.4">
      <c r="B99" s="657"/>
      <c r="C99" s="781" t="s">
        <v>609</v>
      </c>
      <c r="D99" s="781" t="s">
        <v>610</v>
      </c>
      <c r="E99" s="783" t="s">
        <v>809</v>
      </c>
      <c r="F99" s="785" t="s">
        <v>811</v>
      </c>
      <c r="G99" s="785" t="s">
        <v>814</v>
      </c>
      <c r="H99" s="788" t="s">
        <v>618</v>
      </c>
      <c r="J99" s="399"/>
      <c r="K99" s="515"/>
      <c r="L99" s="515"/>
      <c r="M99" s="791"/>
      <c r="N99" s="791"/>
      <c r="O99" s="791"/>
      <c r="P99" s="791"/>
    </row>
    <row r="100" spans="1:16" ht="11.25" customHeight="1" x14ac:dyDescent="0.2">
      <c r="B100" s="665"/>
      <c r="C100" s="515" t="s">
        <v>351</v>
      </c>
      <c r="D100" s="515" t="s">
        <v>351</v>
      </c>
      <c r="E100" s="794" t="s">
        <v>356</v>
      </c>
      <c r="F100" s="796" t="s">
        <v>356</v>
      </c>
      <c r="G100" s="796" t="s">
        <v>356</v>
      </c>
      <c r="H100" s="797" t="s">
        <v>356</v>
      </c>
      <c r="J100" s="2"/>
      <c r="K100" s="515"/>
      <c r="L100" s="515"/>
      <c r="M100" s="297"/>
      <c r="N100" s="297"/>
      <c r="O100" s="297"/>
      <c r="P100" s="297"/>
    </row>
    <row r="101" spans="1:16" ht="12" customHeight="1" x14ac:dyDescent="0.2">
      <c r="B101" s="672" t="s">
        <v>20</v>
      </c>
      <c r="C101" s="799" t="s">
        <v>362</v>
      </c>
      <c r="D101" s="799" t="s">
        <v>362</v>
      </c>
      <c r="E101" s="800" t="s">
        <v>827</v>
      </c>
      <c r="F101" s="490" t="s">
        <v>828</v>
      </c>
      <c r="G101" s="490" t="s">
        <v>830</v>
      </c>
      <c r="H101" s="491" t="s">
        <v>832</v>
      </c>
      <c r="J101" s="804"/>
      <c r="K101" s="515"/>
      <c r="L101" s="515"/>
      <c r="M101" s="297"/>
      <c r="N101" s="297"/>
      <c r="O101" s="297"/>
      <c r="P101" s="297"/>
    </row>
    <row r="102" spans="1:16" ht="12.75" customHeight="1" x14ac:dyDescent="0.25">
      <c r="A102" s="1932" t="s">
        <v>40</v>
      </c>
      <c r="B102" s="679" t="s">
        <v>619</v>
      </c>
      <c r="C102" s="808">
        <f t="shared" ref="C102:D102" si="13">C70</f>
        <v>0</v>
      </c>
      <c r="D102" s="808">
        <f t="shared" si="13"/>
        <v>0</v>
      </c>
      <c r="E102" s="810">
        <f>J9</f>
        <v>0</v>
      </c>
      <c r="F102" s="813">
        <f>H70</f>
        <v>0</v>
      </c>
      <c r="G102" s="816">
        <f>H39</f>
        <v>0</v>
      </c>
      <c r="H102" s="692">
        <f t="shared" ref="H102:H124" si="14">SUM(E102:G102)</f>
        <v>0</v>
      </c>
      <c r="J102" s="289"/>
      <c r="K102" s="819"/>
      <c r="L102" s="820"/>
      <c r="M102" s="822"/>
      <c r="N102" s="824"/>
      <c r="O102" s="826"/>
      <c r="P102" s="827"/>
    </row>
    <row r="103" spans="1:16" ht="12.75" customHeight="1" x14ac:dyDescent="0.25">
      <c r="A103" s="1932" t="s">
        <v>40</v>
      </c>
      <c r="B103" s="695" t="s">
        <v>624</v>
      </c>
      <c r="C103" s="520">
        <f t="shared" ref="C103:D103" si="15">C71</f>
        <v>30430.66779</v>
      </c>
      <c r="D103" s="520">
        <f t="shared" si="15"/>
        <v>307.25402853954921</v>
      </c>
      <c r="E103" s="829">
        <f>J10</f>
        <v>2.8773830948334669</v>
      </c>
      <c r="F103" s="698">
        <f>H71</f>
        <v>8.4237883515290105E-3</v>
      </c>
      <c r="G103" s="830">
        <f>H40</f>
        <v>1.2363947419179677E-2</v>
      </c>
      <c r="H103" s="701">
        <f t="shared" si="14"/>
        <v>2.8981708306041756</v>
      </c>
      <c r="J103" s="289"/>
      <c r="K103" s="819"/>
      <c r="L103" s="820"/>
      <c r="M103" s="822"/>
      <c r="N103" s="824"/>
      <c r="O103" s="826"/>
      <c r="P103" s="827"/>
    </row>
    <row r="104" spans="1:16" ht="12.75" customHeight="1" x14ac:dyDescent="0.25">
      <c r="A104" s="1932" t="s">
        <v>74</v>
      </c>
      <c r="B104" s="695" t="s">
        <v>625</v>
      </c>
      <c r="C104" s="520">
        <f t="shared" ref="C104:D104" si="16">C72</f>
        <v>19576.189249999999</v>
      </c>
      <c r="D104" s="520">
        <f t="shared" si="16"/>
        <v>19576.189249999999</v>
      </c>
      <c r="E104" s="829">
        <f>J11</f>
        <v>0</v>
      </c>
      <c r="F104" s="698">
        <f>H72</f>
        <v>0</v>
      </c>
      <c r="G104" s="830">
        <f>H41</f>
        <v>0</v>
      </c>
      <c r="H104" s="701">
        <f t="shared" si="14"/>
        <v>0</v>
      </c>
      <c r="J104" s="289"/>
      <c r="K104" s="819"/>
      <c r="L104" s="820"/>
      <c r="M104" s="822"/>
      <c r="N104" s="824"/>
      <c r="O104" s="826"/>
      <c r="P104" s="827"/>
    </row>
    <row r="105" spans="1:16" ht="25.5" customHeight="1" x14ac:dyDescent="0.25">
      <c r="A105" s="1932" t="s">
        <v>74</v>
      </c>
      <c r="B105" s="705" t="s">
        <v>626</v>
      </c>
      <c r="C105" s="520">
        <f t="shared" ref="C105:D105" si="17">C73</f>
        <v>0</v>
      </c>
      <c r="D105" s="520">
        <f t="shared" si="17"/>
        <v>0</v>
      </c>
      <c r="E105" s="810">
        <f>J12</f>
        <v>0</v>
      </c>
      <c r="F105" s="698">
        <f>H73</f>
        <v>0</v>
      </c>
      <c r="G105" s="830">
        <f>H42</f>
        <v>0</v>
      </c>
      <c r="H105" s="701">
        <f t="shared" si="14"/>
        <v>0</v>
      </c>
      <c r="J105" s="836"/>
      <c r="K105" s="819"/>
      <c r="L105" s="820"/>
      <c r="M105" s="822"/>
      <c r="N105" s="824"/>
      <c r="O105" s="826"/>
      <c r="P105" s="827"/>
    </row>
    <row r="106" spans="1:16" ht="12.75" customHeight="1" x14ac:dyDescent="0.25">
      <c r="A106" s="1932" t="s">
        <v>74</v>
      </c>
      <c r="B106" s="705" t="s">
        <v>627</v>
      </c>
      <c r="C106" s="520">
        <f t="shared" ref="C106:D106" si="18">C74</f>
        <v>0</v>
      </c>
      <c r="D106" s="520">
        <f t="shared" si="18"/>
        <v>0</v>
      </c>
      <c r="E106" s="829">
        <f>J13</f>
        <v>0</v>
      </c>
      <c r="F106" s="813">
        <f>H74</f>
        <v>0</v>
      </c>
      <c r="G106" s="816">
        <f>H43</f>
        <v>0</v>
      </c>
      <c r="H106" s="701">
        <f t="shared" si="14"/>
        <v>0</v>
      </c>
      <c r="J106" s="836"/>
      <c r="K106" s="819"/>
      <c r="L106" s="820"/>
      <c r="M106" s="822"/>
      <c r="N106" s="824"/>
      <c r="O106" s="826"/>
      <c r="P106" s="827"/>
    </row>
    <row r="107" spans="1:16" ht="12.75" customHeight="1" x14ac:dyDescent="0.25">
      <c r="A107" s="1932" t="s">
        <v>74</v>
      </c>
      <c r="B107" s="695" t="s">
        <v>383</v>
      </c>
      <c r="C107" s="520">
        <f t="shared" ref="C107:D107" si="19">C75</f>
        <v>12446.073039999999</v>
      </c>
      <c r="D107" s="520">
        <f t="shared" si="19"/>
        <v>118.8273577409505</v>
      </c>
      <c r="E107" s="829">
        <f>J14</f>
        <v>0.90526586245554674</v>
      </c>
      <c r="F107" s="698">
        <f>H75</f>
        <v>1.0341667389388428E-3</v>
      </c>
      <c r="G107" s="830">
        <f>H44</f>
        <v>2.0238531880308534E-3</v>
      </c>
      <c r="H107" s="701">
        <f t="shared" si="14"/>
        <v>0.90832388238251649</v>
      </c>
      <c r="J107" s="289"/>
      <c r="K107" s="819"/>
      <c r="L107" s="820"/>
      <c r="M107" s="822"/>
      <c r="N107" s="824"/>
      <c r="O107" s="826"/>
      <c r="P107" s="827"/>
    </row>
    <row r="108" spans="1:16" ht="25.5" customHeight="1" x14ac:dyDescent="0.25">
      <c r="A108" s="1932" t="s">
        <v>74</v>
      </c>
      <c r="B108" s="705" t="s">
        <v>628</v>
      </c>
      <c r="C108" s="520">
        <f t="shared" ref="C108:D108" si="20">C77</f>
        <v>912.92358999999999</v>
      </c>
      <c r="D108" s="520">
        <f t="shared" si="20"/>
        <v>661.47104106953759</v>
      </c>
      <c r="E108" s="810">
        <f>J15</f>
        <v>1.8826539074058166E-2</v>
      </c>
      <c r="F108" s="698">
        <f>H76</f>
        <v>9.2007566115301163E-7</v>
      </c>
      <c r="G108" s="830">
        <f>H45</f>
        <v>1.8005781755897644E-6</v>
      </c>
      <c r="H108" s="701">
        <f t="shared" si="14"/>
        <v>1.8829259727894909E-2</v>
      </c>
      <c r="J108" s="836"/>
      <c r="K108" s="819"/>
      <c r="L108" s="820"/>
      <c r="M108" s="822"/>
      <c r="N108" s="824"/>
      <c r="O108" s="826"/>
      <c r="P108" s="827"/>
    </row>
    <row r="109" spans="1:16" ht="25.5" customHeight="1" x14ac:dyDescent="0.25">
      <c r="A109" s="1932" t="s">
        <v>74</v>
      </c>
      <c r="B109" s="705" t="s">
        <v>629</v>
      </c>
      <c r="C109" s="520">
        <f t="shared" ref="C109:D109" si="21">C77</f>
        <v>912.92358999999999</v>
      </c>
      <c r="D109" s="520">
        <f t="shared" si="21"/>
        <v>661.47104106953759</v>
      </c>
      <c r="E109" s="829">
        <f>J16</f>
        <v>3.6786787211790468E-2</v>
      </c>
      <c r="F109" s="698">
        <f>H77</f>
        <v>2.1095049877972528E-5</v>
      </c>
      <c r="G109" s="830">
        <f>H46</f>
        <v>4.1282785782698921E-5</v>
      </c>
      <c r="H109" s="701">
        <f t="shared" si="14"/>
        <v>3.6849165047451143E-2</v>
      </c>
      <c r="J109" s="836"/>
      <c r="K109" s="819"/>
      <c r="L109" s="820"/>
      <c r="M109" s="822"/>
      <c r="N109" s="824"/>
      <c r="O109" s="826"/>
      <c r="P109" s="827"/>
    </row>
    <row r="110" spans="1:16" ht="12.75" customHeight="1" x14ac:dyDescent="0.25">
      <c r="A110" s="1932" t="s">
        <v>74</v>
      </c>
      <c r="B110" s="695" t="s">
        <v>403</v>
      </c>
      <c r="C110" s="520">
        <f t="shared" ref="C110:D110" si="22">C78</f>
        <v>172.24553</v>
      </c>
      <c r="D110" s="520">
        <f t="shared" si="22"/>
        <v>0</v>
      </c>
      <c r="E110" s="829">
        <f>J17</f>
        <v>1.2443252666475536E-2</v>
      </c>
      <c r="F110" s="813">
        <f>H78</f>
        <v>1.4450153963691347E-5</v>
      </c>
      <c r="G110" s="816">
        <f>H47</f>
        <v>2.8278795928944351E-5</v>
      </c>
      <c r="H110" s="701">
        <f t="shared" si="14"/>
        <v>1.2485981616368172E-2</v>
      </c>
      <c r="J110" s="289"/>
      <c r="K110" s="819"/>
      <c r="L110" s="820"/>
      <c r="M110" s="822"/>
      <c r="N110" s="824"/>
      <c r="O110" s="826"/>
      <c r="P110" s="827"/>
    </row>
    <row r="111" spans="1:16" ht="12.75" customHeight="1" x14ac:dyDescent="0.25">
      <c r="A111" s="1932" t="s">
        <v>141</v>
      </c>
      <c r="B111" s="695" t="s">
        <v>526</v>
      </c>
      <c r="C111" s="520">
        <f t="shared" ref="C111:D111" si="23">C79</f>
        <v>3241.0028299999999</v>
      </c>
      <c r="D111" s="520">
        <f t="shared" si="23"/>
        <v>2263.7016790260022</v>
      </c>
      <c r="E111" s="810">
        <f>J18</f>
        <v>0.11457717643302107</v>
      </c>
      <c r="F111" s="698">
        <f>H79</f>
        <v>8.1988496888523181E-5</v>
      </c>
      <c r="G111" s="830">
        <f>H48</f>
        <v>1.604506068140991E-4</v>
      </c>
      <c r="H111" s="701">
        <f t="shared" si="14"/>
        <v>0.11481961553672369</v>
      </c>
      <c r="J111" s="289"/>
      <c r="K111" s="819"/>
      <c r="L111" s="820"/>
      <c r="M111" s="822"/>
      <c r="N111" s="824"/>
      <c r="O111" s="826"/>
      <c r="P111" s="827"/>
    </row>
    <row r="112" spans="1:16" ht="12.75" customHeight="1" x14ac:dyDescent="0.25">
      <c r="A112" s="1932" t="s">
        <v>74</v>
      </c>
      <c r="B112" s="695" t="s">
        <v>630</v>
      </c>
      <c r="C112" s="520">
        <f t="shared" ref="C112:D112" si="24">C80</f>
        <v>2154.1493500000001</v>
      </c>
      <c r="D112" s="520">
        <f t="shared" si="24"/>
        <v>2154.1493500000001</v>
      </c>
      <c r="E112" s="829">
        <f>J19</f>
        <v>0.144964897751411</v>
      </c>
      <c r="F112" s="698">
        <f>H80</f>
        <v>0</v>
      </c>
      <c r="G112" s="830">
        <f>H49</f>
        <v>0</v>
      </c>
      <c r="H112" s="701">
        <f t="shared" si="14"/>
        <v>0.144964897751411</v>
      </c>
      <c r="J112" s="289"/>
      <c r="K112" s="819"/>
      <c r="L112" s="820"/>
      <c r="M112" s="822"/>
      <c r="N112" s="824"/>
      <c r="O112" s="826"/>
      <c r="P112" s="827"/>
    </row>
    <row r="113" spans="1:16" ht="12.75" customHeight="1" x14ac:dyDescent="0.25">
      <c r="A113" s="1932" t="s">
        <v>74</v>
      </c>
      <c r="B113" s="695" t="s">
        <v>601</v>
      </c>
      <c r="C113" s="520">
        <f t="shared" ref="C113:D113" si="25">C81</f>
        <v>5394.6696899999997</v>
      </c>
      <c r="D113" s="520">
        <f t="shared" si="25"/>
        <v>0</v>
      </c>
      <c r="E113" s="829">
        <f>J20</f>
        <v>0.36679199140231694</v>
      </c>
      <c r="F113" s="698">
        <f>H81</f>
        <v>4.5257376260364533E-4</v>
      </c>
      <c r="G113" s="830">
        <f>H50</f>
        <v>8.856819870307896E-4</v>
      </c>
      <c r="H113" s="701">
        <f t="shared" si="14"/>
        <v>0.36813024715195136</v>
      </c>
      <c r="J113" s="289"/>
      <c r="K113" s="819"/>
      <c r="L113" s="820"/>
      <c r="M113" s="822"/>
      <c r="N113" s="824"/>
      <c r="O113" s="826"/>
      <c r="P113" s="827"/>
    </row>
    <row r="114" spans="1:16" ht="25.5" customHeight="1" x14ac:dyDescent="0.25">
      <c r="A114" s="1932" t="s">
        <v>74</v>
      </c>
      <c r="B114" s="705" t="s">
        <v>632</v>
      </c>
      <c r="C114" s="520">
        <f t="shared" ref="C114:D114" si="26">C82</f>
        <v>0</v>
      </c>
      <c r="D114" s="520">
        <f t="shared" si="26"/>
        <v>0</v>
      </c>
      <c r="E114" s="810">
        <f>J21</f>
        <v>0</v>
      </c>
      <c r="F114" s="813">
        <f>H82</f>
        <v>0</v>
      </c>
      <c r="G114" s="816">
        <f>H51</f>
        <v>0</v>
      </c>
      <c r="H114" s="701">
        <f t="shared" si="14"/>
        <v>0</v>
      </c>
      <c r="J114" s="836"/>
      <c r="K114" s="819"/>
      <c r="L114" s="820"/>
      <c r="M114" s="822"/>
      <c r="N114" s="824"/>
      <c r="O114" s="826"/>
      <c r="P114" s="827"/>
    </row>
    <row r="115" spans="1:16" ht="12.75" customHeight="1" x14ac:dyDescent="0.25">
      <c r="A115" s="1932" t="s">
        <v>74</v>
      </c>
      <c r="B115" s="695" t="s">
        <v>633</v>
      </c>
      <c r="C115" s="520">
        <f t="shared" ref="C115:D115" si="27">C83</f>
        <v>157.07159999999999</v>
      </c>
      <c r="D115" s="520">
        <f t="shared" si="27"/>
        <v>157.07159999999999</v>
      </c>
      <c r="E115" s="829">
        <f>J22</f>
        <v>1.170948733940474E-2</v>
      </c>
      <c r="F115" s="698">
        <f>H83</f>
        <v>0</v>
      </c>
      <c r="G115" s="830">
        <f>H52</f>
        <v>0</v>
      </c>
      <c r="H115" s="701">
        <f t="shared" si="14"/>
        <v>1.170948733940474E-2</v>
      </c>
      <c r="J115" s="289"/>
      <c r="K115" s="819"/>
      <c r="L115" s="820"/>
      <c r="M115" s="822"/>
      <c r="N115" s="824"/>
      <c r="O115" s="826"/>
      <c r="P115" s="827"/>
    </row>
    <row r="116" spans="1:16" ht="12.75" customHeight="1" x14ac:dyDescent="0.25">
      <c r="A116" s="1932" t="s">
        <v>74</v>
      </c>
      <c r="B116" s="695" t="s">
        <v>637</v>
      </c>
      <c r="C116" s="520">
        <f t="shared" ref="C116:D116" si="28">C84</f>
        <v>0</v>
      </c>
      <c r="D116" s="520">
        <f t="shared" si="28"/>
        <v>0</v>
      </c>
      <c r="E116" s="829">
        <f>J23</f>
        <v>0</v>
      </c>
      <c r="F116" s="698">
        <f>H84</f>
        <v>0</v>
      </c>
      <c r="G116" s="830">
        <f>H53</f>
        <v>0</v>
      </c>
      <c r="H116" s="701">
        <f t="shared" si="14"/>
        <v>0</v>
      </c>
      <c r="J116" s="289"/>
      <c r="K116" s="819"/>
      <c r="L116" s="820"/>
      <c r="M116" s="822"/>
      <c r="N116" s="824"/>
      <c r="O116" s="826"/>
      <c r="P116" s="827"/>
    </row>
    <row r="117" spans="1:16" ht="12.75" customHeight="1" x14ac:dyDescent="0.25">
      <c r="A117" s="1932" t="s">
        <v>74</v>
      </c>
      <c r="B117" s="695" t="s">
        <v>640</v>
      </c>
      <c r="C117" s="520">
        <f t="shared" ref="C117:D117" si="29">C85</f>
        <v>161.77572000000001</v>
      </c>
      <c r="D117" s="520">
        <f t="shared" si="29"/>
        <v>122.04430006839266</v>
      </c>
      <c r="E117" s="810">
        <f>J24</f>
        <v>5.7603552799029073E-3</v>
      </c>
      <c r="F117" s="698">
        <f>H85</f>
        <v>3.3331787199807237E-6</v>
      </c>
      <c r="G117" s="830">
        <f>H54</f>
        <v>6.5229949143708776E-6</v>
      </c>
      <c r="H117" s="701">
        <f t="shared" si="14"/>
        <v>5.7702114535372589E-3</v>
      </c>
      <c r="J117" s="289"/>
      <c r="K117" s="819"/>
      <c r="L117" s="820"/>
      <c r="M117" s="822"/>
      <c r="N117" s="824"/>
      <c r="O117" s="826"/>
      <c r="P117" s="827"/>
    </row>
    <row r="118" spans="1:16" ht="12.75" customHeight="1" x14ac:dyDescent="0.25">
      <c r="A118" s="1932" t="s">
        <v>74</v>
      </c>
      <c r="B118" s="695" t="s">
        <v>392</v>
      </c>
      <c r="C118" s="520">
        <f t="shared" ref="C118:D118" si="30">C86</f>
        <v>4766.90751</v>
      </c>
      <c r="D118" s="520">
        <f t="shared" si="30"/>
        <v>0</v>
      </c>
      <c r="E118" s="829">
        <f>J25</f>
        <v>0.37527720902788697</v>
      </c>
      <c r="F118" s="813">
        <f>H86</f>
        <v>3.9990905685724639E-4</v>
      </c>
      <c r="G118" s="816">
        <f>H55</f>
        <v>7.8261772417224549E-4</v>
      </c>
      <c r="H118" s="701">
        <f t="shared" si="14"/>
        <v>0.37645973580891651</v>
      </c>
      <c r="J118" s="289"/>
      <c r="K118" s="819"/>
      <c r="L118" s="820"/>
      <c r="M118" s="822"/>
      <c r="N118" s="824"/>
      <c r="O118" s="826"/>
      <c r="P118" s="827"/>
    </row>
    <row r="119" spans="1:16" ht="12.75" customHeight="1" x14ac:dyDescent="0.25">
      <c r="A119" s="1932" t="s">
        <v>74</v>
      </c>
      <c r="B119" s="695" t="s">
        <v>643</v>
      </c>
      <c r="C119" s="520">
        <f t="shared" ref="C119:D119" si="31">C87</f>
        <v>0</v>
      </c>
      <c r="D119" s="520">
        <f t="shared" si="31"/>
        <v>0</v>
      </c>
      <c r="E119" s="829">
        <f>J26</f>
        <v>0</v>
      </c>
      <c r="F119" s="698">
        <f>H87</f>
        <v>0</v>
      </c>
      <c r="G119" s="830">
        <f>H56</f>
        <v>0</v>
      </c>
      <c r="H119" s="701">
        <f t="shared" si="14"/>
        <v>0</v>
      </c>
      <c r="J119" s="289"/>
      <c r="K119" s="819"/>
      <c r="L119" s="820"/>
      <c r="M119" s="822"/>
      <c r="N119" s="824"/>
      <c r="O119" s="826"/>
      <c r="P119" s="827"/>
    </row>
    <row r="120" spans="1:16" ht="12.75" customHeight="1" x14ac:dyDescent="0.25">
      <c r="A120" s="1932" t="s">
        <v>74</v>
      </c>
      <c r="B120" s="695" t="s">
        <v>646</v>
      </c>
      <c r="C120" s="520">
        <f t="shared" ref="C120:D120" si="32">C88</f>
        <v>3076.9398200000001</v>
      </c>
      <c r="D120" s="520">
        <f t="shared" si="32"/>
        <v>3034.4904438139852</v>
      </c>
      <c r="E120" s="810">
        <f>J27</f>
        <v>0.22386041026805226</v>
      </c>
      <c r="F120" s="698">
        <f>H88</f>
        <v>3.5611955883590602E-6</v>
      </c>
      <c r="G120" s="830">
        <f>H57</f>
        <v>6.9692214739929975E-6</v>
      </c>
      <c r="H120" s="701">
        <f t="shared" si="14"/>
        <v>0.22387094068511462</v>
      </c>
      <c r="J120" s="289"/>
      <c r="K120" s="819"/>
      <c r="L120" s="820"/>
      <c r="M120" s="822"/>
      <c r="N120" s="824"/>
      <c r="O120" s="826"/>
      <c r="P120" s="827"/>
    </row>
    <row r="121" spans="1:16" ht="12.75" customHeight="1" x14ac:dyDescent="0.25">
      <c r="A121" s="1932" t="s">
        <v>74</v>
      </c>
      <c r="B121" s="695" t="s">
        <v>648</v>
      </c>
      <c r="C121" s="520">
        <f t="shared" ref="C121:D121" si="33">C89</f>
        <v>0</v>
      </c>
      <c r="D121" s="520">
        <f t="shared" si="33"/>
        <v>0</v>
      </c>
      <c r="E121" s="829">
        <f>J28</f>
        <v>0</v>
      </c>
      <c r="F121" s="698">
        <f>H89</f>
        <v>0</v>
      </c>
      <c r="G121" s="830">
        <f>H58</f>
        <v>0</v>
      </c>
      <c r="H121" s="701">
        <f t="shared" si="14"/>
        <v>0</v>
      </c>
      <c r="J121" s="289"/>
      <c r="K121" s="819"/>
      <c r="L121" s="820"/>
      <c r="M121" s="822"/>
      <c r="N121" s="824"/>
      <c r="O121" s="826"/>
      <c r="P121" s="827"/>
    </row>
    <row r="122" spans="1:16" ht="12.75" customHeight="1" x14ac:dyDescent="0.25">
      <c r="A122" s="1932" t="s">
        <v>74</v>
      </c>
      <c r="B122" s="695" t="s">
        <v>649</v>
      </c>
      <c r="C122" s="520">
        <f t="shared" ref="C122:D122" si="34">C90</f>
        <v>241.17277999999999</v>
      </c>
      <c r="D122" s="520">
        <f t="shared" si="34"/>
        <v>241.17277999999999</v>
      </c>
      <c r="E122" s="829">
        <f>J29</f>
        <v>7.3509099810563291E-3</v>
      </c>
      <c r="F122" s="813">
        <f>H90</f>
        <v>0</v>
      </c>
      <c r="G122" s="816">
        <f>H59</f>
        <v>0</v>
      </c>
      <c r="H122" s="701">
        <f t="shared" si="14"/>
        <v>7.3509099810563291E-3</v>
      </c>
      <c r="J122" s="289"/>
      <c r="K122" s="819"/>
      <c r="L122" s="820"/>
      <c r="M122" s="822"/>
      <c r="N122" s="824"/>
      <c r="O122" s="826"/>
      <c r="P122" s="827"/>
    </row>
    <row r="123" spans="1:16" ht="12.75" customHeight="1" x14ac:dyDescent="0.25">
      <c r="A123" s="1932" t="s">
        <v>141</v>
      </c>
      <c r="B123" s="695" t="s">
        <v>63</v>
      </c>
      <c r="C123" s="520">
        <f t="shared" ref="C123:D123" si="35">C91</f>
        <v>23810.834429999999</v>
      </c>
      <c r="D123" s="520">
        <f t="shared" si="35"/>
        <v>1279.7490342444869</v>
      </c>
      <c r="E123" s="810">
        <f>J30</f>
        <v>1.2201783236830441</v>
      </c>
      <c r="F123" s="698">
        <f>H91</f>
        <v>5.9690370870321555E-4</v>
      </c>
      <c r="G123" s="830">
        <f>H60</f>
        <v>5.8406706980637234E-4</v>
      </c>
      <c r="H123" s="701">
        <f t="shared" si="14"/>
        <v>1.2213592944615537</v>
      </c>
      <c r="J123" s="289"/>
      <c r="K123" s="819"/>
      <c r="L123" s="820"/>
      <c r="M123" s="822"/>
      <c r="N123" s="824"/>
      <c r="O123" s="826"/>
      <c r="P123" s="827"/>
    </row>
    <row r="124" spans="1:16" ht="13.5" customHeight="1" x14ac:dyDescent="0.25">
      <c r="A124" s="1932" t="s">
        <v>103</v>
      </c>
      <c r="B124" s="748" t="s">
        <v>103</v>
      </c>
      <c r="C124" s="520">
        <f t="shared" ref="C124:D124" si="36">C92</f>
        <v>12165.362289999999</v>
      </c>
      <c r="D124" s="520" t="str">
        <f t="shared" si="36"/>
        <v>NA</v>
      </c>
      <c r="E124" s="829">
        <v>0</v>
      </c>
      <c r="F124" s="698">
        <f>H92</f>
        <v>9.6687084635352725E-3</v>
      </c>
      <c r="G124" s="830">
        <f>H61</f>
        <v>1.2614372332354264E-2</v>
      </c>
      <c r="H124" s="857">
        <f t="shared" si="14"/>
        <v>2.2283080795889539E-2</v>
      </c>
      <c r="J124" s="288"/>
      <c r="K124" s="819"/>
      <c r="L124" s="820"/>
      <c r="M124" s="822"/>
      <c r="N124" s="824"/>
      <c r="O124" s="826"/>
      <c r="P124" s="827"/>
    </row>
    <row r="125" spans="1:16" ht="15" customHeight="1" x14ac:dyDescent="0.3">
      <c r="B125" s="752"/>
      <c r="C125" s="754"/>
      <c r="D125" s="754"/>
      <c r="E125" s="754"/>
      <c r="F125" s="859"/>
      <c r="G125" s="860" t="s">
        <v>95</v>
      </c>
      <c r="H125" s="861">
        <f>SUM(H102:H124)</f>
        <v>6.371377540343965</v>
      </c>
      <c r="J125" s="2"/>
      <c r="K125" s="2"/>
      <c r="L125" s="2"/>
      <c r="M125" s="2"/>
      <c r="N125" s="826"/>
      <c r="O125" s="862"/>
      <c r="P125" s="401"/>
    </row>
    <row r="126" spans="1:16" ht="12" customHeight="1" thickBot="1" x14ac:dyDescent="0.25"/>
    <row r="127" spans="1:16" ht="11.25" customHeight="1" thickTop="1" x14ac:dyDescent="0.2">
      <c r="B127" s="1911"/>
      <c r="C127" s="1912" t="s">
        <v>3</v>
      </c>
      <c r="D127" s="1913" t="s">
        <v>4</v>
      </c>
      <c r="E127" s="1913" t="s">
        <v>5</v>
      </c>
      <c r="F127" s="1914" t="s">
        <v>95</v>
      </c>
    </row>
    <row r="128" spans="1:16" ht="11.25" customHeight="1" thickBot="1" x14ac:dyDescent="0.25">
      <c r="B128" s="1915" t="s">
        <v>1747</v>
      </c>
      <c r="C128" s="1916" t="s">
        <v>1748</v>
      </c>
      <c r="D128" s="1916" t="s">
        <v>1748</v>
      </c>
      <c r="E128" s="1917" t="s">
        <v>1748</v>
      </c>
      <c r="F128" s="1918" t="s">
        <v>1748</v>
      </c>
    </row>
    <row r="129" spans="2:6" ht="11.25" customHeight="1" x14ac:dyDescent="0.2">
      <c r="B129" s="1919" t="s">
        <v>40</v>
      </c>
      <c r="C129" s="1920">
        <f>SUMIF($A$102:$A$124,$B129,E$102:E$124)</f>
        <v>2.8773830948334669</v>
      </c>
      <c r="D129" s="1920">
        <f>SUMIF($A$102:$A$124,$B129,F$102:F$124)</f>
        <v>8.4237883515290105E-3</v>
      </c>
      <c r="E129" s="1921">
        <f>SUMIF($A$102:$A$124,$B129,G$102:G$124)</f>
        <v>1.2363947419179677E-2</v>
      </c>
      <c r="F129" s="1922">
        <f t="shared" ref="F129:F132" si="37">SUM(C129:E129)</f>
        <v>2.8981708306041756</v>
      </c>
    </row>
    <row r="130" spans="2:6" ht="11.25" customHeight="1" x14ac:dyDescent="0.2">
      <c r="B130" s="1923" t="s">
        <v>141</v>
      </c>
      <c r="C130" s="1920">
        <f>SUMIF($A$102:$A$124,$B130,E$102:E$124)</f>
        <v>1.3347555001160651</v>
      </c>
      <c r="D130" s="1920">
        <f>SUMIF($A$102:$A$124,$B130,F$102:F$124)</f>
        <v>6.7889220559173868E-4</v>
      </c>
      <c r="E130" s="1921">
        <f>SUMIF($A$102:$A$124,$B130,G$102:G$124)</f>
        <v>7.4451767662047144E-4</v>
      </c>
      <c r="F130" s="1922">
        <f t="shared" si="37"/>
        <v>1.3361789099982775</v>
      </c>
    </row>
    <row r="131" spans="2:6" ht="11.25" customHeight="1" x14ac:dyDescent="0.2">
      <c r="B131" s="1923" t="s">
        <v>74</v>
      </c>
      <c r="C131" s="1920">
        <f>SUMIF($A$102:$A$124,$B131,E$102:E$124)</f>
        <v>2.1090377024579023</v>
      </c>
      <c r="D131" s="1920">
        <f>SUMIF($A$102:$A$124,$B131,F$102:F$124)</f>
        <v>1.9300092122108913E-3</v>
      </c>
      <c r="E131" s="1921">
        <f>SUMIF($A$102:$A$124,$B131,G$102:G$124)</f>
        <v>3.7770072755094856E-3</v>
      </c>
      <c r="F131" s="1922">
        <f t="shared" si="37"/>
        <v>2.1147447189456225</v>
      </c>
    </row>
    <row r="132" spans="2:6" ht="11.25" customHeight="1" thickBot="1" x14ac:dyDescent="0.25">
      <c r="B132" s="1924" t="s">
        <v>103</v>
      </c>
      <c r="C132" s="1925">
        <f>SUMIF($A$102:$A$124,$B132,E$102:E$124)</f>
        <v>0</v>
      </c>
      <c r="D132" s="1925">
        <f>SUMIF($A$102:$A$124,$B132,F$102:F$124)</f>
        <v>9.6687084635352725E-3</v>
      </c>
      <c r="E132" s="1926">
        <f>SUMIF($A$102:$A$124,$B132,G$102:G$124)</f>
        <v>1.2614372332354264E-2</v>
      </c>
      <c r="F132" s="1927">
        <f t="shared" si="37"/>
        <v>2.2283080795889539E-2</v>
      </c>
    </row>
    <row r="133" spans="2:6" ht="11.25" customHeight="1" thickBot="1" x14ac:dyDescent="0.25">
      <c r="B133" s="1928"/>
      <c r="C133" s="1929"/>
      <c r="D133" s="1929"/>
      <c r="E133" s="1930" t="s">
        <v>95</v>
      </c>
      <c r="F133" s="1931">
        <f>SUM(F129:F132)</f>
        <v>6.371377540343965</v>
      </c>
    </row>
    <row r="134" spans="2:6" ht="11.25" customHeight="1" thickTop="1" x14ac:dyDescent="0.2"/>
    <row r="135" spans="2:6" ht="11.25" customHeight="1" x14ac:dyDescent="0.2"/>
    <row r="136" spans="2:6" ht="11.25" customHeight="1" x14ac:dyDescent="0.2"/>
    <row r="137" spans="2:6" ht="11.25" customHeight="1" x14ac:dyDescent="0.2"/>
    <row r="138" spans="2:6" ht="11.25" customHeight="1" x14ac:dyDescent="0.2"/>
    <row r="139" spans="2:6" ht="11.25" customHeight="1" x14ac:dyDescent="0.2"/>
    <row r="140" spans="2:6" ht="11.25" customHeight="1" x14ac:dyDescent="0.2"/>
    <row r="141" spans="2:6" ht="11.25" customHeight="1" x14ac:dyDescent="0.2"/>
    <row r="142" spans="2:6" ht="11.25" customHeight="1" x14ac:dyDescent="0.2"/>
    <row r="143" spans="2:6" ht="11.25" customHeight="1" x14ac:dyDescent="0.2"/>
    <row r="144" spans="2:6"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2">
    <mergeCell ref="A3:J3"/>
    <mergeCell ref="J36:K36"/>
  </mergeCells>
  <pageMargins left="0.7" right="0.7" top="0.75" bottom="0.75" header="0" footer="0"/>
  <pageSetup orientation="landscape"/>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1000"/>
  <sheetViews>
    <sheetView workbookViewId="0"/>
  </sheetViews>
  <sheetFormatPr defaultColWidth="16.83203125" defaultRowHeight="15" customHeight="1" x14ac:dyDescent="0.2"/>
  <cols>
    <col min="1" max="1" width="4.6640625" customWidth="1"/>
    <col min="2" max="2" width="43.33203125" customWidth="1"/>
    <col min="3" max="3" width="17.5" customWidth="1"/>
    <col min="4" max="4" width="5.5" customWidth="1"/>
    <col min="5" max="5" width="28.1640625" customWidth="1"/>
    <col min="6" max="6" width="5.5" customWidth="1"/>
    <col min="7" max="7" width="19.5" customWidth="1"/>
    <col min="8" max="8" width="5.5" customWidth="1"/>
    <col min="9" max="9" width="18.1640625" customWidth="1"/>
    <col min="10" max="10" width="5.5" customWidth="1"/>
    <col min="11" max="11" width="17.83203125" customWidth="1"/>
    <col min="12" max="12" width="5.5" customWidth="1"/>
    <col min="13" max="13" width="17.1640625" customWidth="1"/>
    <col min="14" max="14" width="5.5" customWidth="1"/>
    <col min="15" max="15" width="17.83203125" customWidth="1"/>
    <col min="16" max="16" width="10.1640625" customWidth="1"/>
    <col min="17" max="19" width="8" customWidth="1"/>
    <col min="20" max="20" width="14.5" customWidth="1"/>
    <col min="21" max="21" width="4.33203125" customWidth="1"/>
    <col min="22" max="22" width="14.5" customWidth="1"/>
    <col min="23" max="23" width="4.33203125" customWidth="1"/>
    <col min="24" max="24" width="14.5" customWidth="1"/>
    <col min="25" max="25" width="10.1640625" customWidth="1"/>
    <col min="26" max="26" width="14.83203125" customWidth="1"/>
    <col min="27" max="27" width="14.5" customWidth="1"/>
    <col min="28" max="28" width="4.33203125" customWidth="1"/>
    <col min="29" max="29" width="12.83203125" customWidth="1"/>
    <col min="30" max="30" width="4.33203125" customWidth="1"/>
    <col min="31" max="31" width="13.83203125" customWidth="1"/>
    <col min="32" max="33" width="8" customWidth="1"/>
  </cols>
  <sheetData>
    <row r="1" spans="1:33" ht="33" customHeight="1" x14ac:dyDescent="0.45">
      <c r="A1" s="11" t="s">
        <v>631</v>
      </c>
      <c r="B1" s="11"/>
      <c r="C1" s="2"/>
      <c r="D1" s="2"/>
      <c r="E1" s="16"/>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ht="81" customHeight="1" x14ac:dyDescent="0.2">
      <c r="A2" s="1789"/>
      <c r="B2" s="1766"/>
      <c r="C2" s="1766"/>
      <c r="D2" s="1766"/>
      <c r="E2" s="1766"/>
      <c r="F2" s="1766"/>
      <c r="G2" s="1766"/>
      <c r="H2" s="1766"/>
      <c r="I2" s="1766"/>
      <c r="J2" s="1766"/>
      <c r="K2" s="1766"/>
      <c r="L2" s="2"/>
      <c r="M2" s="2"/>
      <c r="N2" s="2"/>
      <c r="O2" s="2"/>
      <c r="P2" s="2"/>
      <c r="Q2" s="2"/>
      <c r="R2" s="2"/>
      <c r="S2" s="2"/>
      <c r="T2" s="2"/>
      <c r="U2" s="2"/>
      <c r="V2" s="2"/>
      <c r="W2" s="2"/>
      <c r="X2" s="2"/>
      <c r="Y2" s="2"/>
      <c r="Z2" s="2"/>
      <c r="AA2" s="2"/>
      <c r="AB2" s="2"/>
      <c r="AC2" s="2"/>
      <c r="AD2" s="2"/>
      <c r="AE2" s="2"/>
      <c r="AF2" s="2"/>
      <c r="AG2" s="2"/>
    </row>
    <row r="3" spans="1:33" ht="21" customHeight="1" x14ac:dyDescent="0.4">
      <c r="B3" s="11" t="s">
        <v>634</v>
      </c>
    </row>
    <row r="4" spans="1:33" ht="18.75" customHeight="1" x14ac:dyDescent="0.3">
      <c r="B4" s="540" t="s">
        <v>635</v>
      </c>
      <c r="C4" s="541" t="s">
        <v>636</v>
      </c>
      <c r="E4" s="541" t="s">
        <v>638</v>
      </c>
      <c r="G4" s="542" t="s">
        <v>362</v>
      </c>
    </row>
    <row r="5" spans="1:33" ht="11.25" customHeight="1" x14ac:dyDescent="0.2">
      <c r="B5" s="58" t="s">
        <v>639</v>
      </c>
      <c r="C5" s="133">
        <v>107.81010999999999</v>
      </c>
      <c r="E5" s="133">
        <v>4526231.38217822</v>
      </c>
      <c r="G5" s="543">
        <f>544009.905172277/1000</f>
        <v>544.00990517227706</v>
      </c>
      <c r="I5" s="162"/>
    </row>
    <row r="6" spans="1:33" ht="11.25" customHeight="1" x14ac:dyDescent="0.2">
      <c r="B6" s="58" t="s">
        <v>641</v>
      </c>
      <c r="C6" s="133">
        <v>14834.5936</v>
      </c>
      <c r="E6" s="133">
        <v>623052931.20000005</v>
      </c>
      <c r="G6" s="133">
        <v>86411.507719999994</v>
      </c>
      <c r="I6" s="162"/>
    </row>
    <row r="7" spans="1:33" ht="11.25" customHeight="1" x14ac:dyDescent="0.2">
      <c r="B7" s="58" t="s">
        <v>642</v>
      </c>
      <c r="C7" s="544">
        <v>0</v>
      </c>
      <c r="E7" s="544">
        <v>0</v>
      </c>
      <c r="G7" s="544">
        <v>0</v>
      </c>
      <c r="I7" s="162"/>
    </row>
    <row r="8" spans="1:33" ht="11.25" customHeight="1" x14ac:dyDescent="0.2">
      <c r="B8" s="58" t="s">
        <v>644</v>
      </c>
      <c r="C8" s="133">
        <v>4144.0214299999998</v>
      </c>
      <c r="E8" s="133">
        <v>23496601.510000002</v>
      </c>
      <c r="G8" s="133">
        <v>23496.60151</v>
      </c>
      <c r="I8" s="162"/>
      <c r="K8" s="544"/>
    </row>
    <row r="9" spans="1:33" ht="11.25" customHeight="1" x14ac:dyDescent="0.2">
      <c r="B9" s="58" t="s">
        <v>645</v>
      </c>
      <c r="C9" s="133">
        <v>43.623379999999997</v>
      </c>
      <c r="E9" s="133">
        <f t="shared" ref="E9:E10" si="0">C9*42*1000</f>
        <v>1832181.96</v>
      </c>
      <c r="G9" s="133">
        <v>157.26228</v>
      </c>
      <c r="I9" s="162"/>
    </row>
    <row r="10" spans="1:33" ht="11.25" customHeight="1" x14ac:dyDescent="0.2">
      <c r="B10" s="58" t="s">
        <v>647</v>
      </c>
      <c r="C10" s="133">
        <v>265.99846000000002</v>
      </c>
      <c r="E10" s="133">
        <f t="shared" si="0"/>
        <v>11171935.32</v>
      </c>
      <c r="G10" s="133">
        <v>1613.2806599999999</v>
      </c>
      <c r="I10" s="162"/>
    </row>
    <row r="11" spans="1:33" ht="12.75" customHeight="1" x14ac:dyDescent="0.2">
      <c r="B11" s="58" t="s">
        <v>601</v>
      </c>
      <c r="C11" s="133">
        <v>64604.700989999998</v>
      </c>
      <c r="E11" s="545">
        <v>2721404088</v>
      </c>
      <c r="G11" s="133">
        <f>E11*C47/1000000000</f>
        <v>338101.80108494399</v>
      </c>
      <c r="I11" s="162"/>
    </row>
    <row r="12" spans="1:33" ht="11.25" customHeight="1" x14ac:dyDescent="0.2">
      <c r="B12" s="58" t="s">
        <v>650</v>
      </c>
      <c r="C12" s="310">
        <v>3892.6155199999998</v>
      </c>
      <c r="E12" s="133">
        <v>163489851.83999997</v>
      </c>
      <c r="G12" s="133">
        <v>13775.966329999999</v>
      </c>
      <c r="I12" s="162"/>
    </row>
    <row r="13" spans="1:33" ht="11.25" customHeight="1" x14ac:dyDescent="0.2">
      <c r="B13" s="58" t="s">
        <v>651</v>
      </c>
      <c r="C13" s="133">
        <v>3236.1390000000001</v>
      </c>
      <c r="E13" s="133">
        <f>C13</f>
        <v>3236.1390000000001</v>
      </c>
      <c r="G13" s="133">
        <v>3348.01233</v>
      </c>
      <c r="I13" s="162"/>
    </row>
    <row r="14" spans="1:33" ht="11.25" customHeight="1" x14ac:dyDescent="0.2">
      <c r="B14" s="58" t="s">
        <v>652</v>
      </c>
      <c r="C14" s="133">
        <v>1221.47559</v>
      </c>
      <c r="E14" s="133">
        <f>C14*42*1000</f>
        <v>51301974.780000001</v>
      </c>
      <c r="G14" s="133">
        <v>7679.4170299999996</v>
      </c>
      <c r="I14" s="162"/>
    </row>
    <row r="15" spans="1:33" ht="11.25" customHeight="1" x14ac:dyDescent="0.2">
      <c r="E15" s="84"/>
    </row>
    <row r="16" spans="1:33" ht="11.25" customHeight="1" x14ac:dyDescent="0.2"/>
    <row r="17" spans="1:33" ht="19.5" customHeight="1" x14ac:dyDescent="0.3">
      <c r="A17" s="3"/>
      <c r="B17" s="548" t="s">
        <v>653</v>
      </c>
      <c r="C17" s="550"/>
      <c r="D17" s="550"/>
      <c r="E17" s="551"/>
      <c r="F17" s="550"/>
      <c r="G17" s="3"/>
      <c r="H17" s="3"/>
      <c r="I17" s="3"/>
      <c r="J17" s="3"/>
      <c r="K17" s="24"/>
      <c r="L17" s="3"/>
      <c r="M17" s="3"/>
      <c r="N17" s="3"/>
      <c r="O17" s="3"/>
      <c r="P17" s="3"/>
      <c r="Q17" s="3"/>
      <c r="R17" s="3"/>
      <c r="S17" s="3"/>
      <c r="T17" s="3"/>
      <c r="U17" s="3"/>
      <c r="V17" s="3"/>
      <c r="W17" s="3"/>
      <c r="X17" s="3"/>
      <c r="Y17" s="3"/>
      <c r="Z17" s="3"/>
      <c r="AA17" s="3"/>
      <c r="AB17" s="3"/>
      <c r="AC17" s="3"/>
      <c r="AD17" s="3"/>
      <c r="AE17" s="3"/>
      <c r="AF17" s="3"/>
      <c r="AG17" s="3"/>
    </row>
    <row r="18" spans="1:33" ht="26.25" customHeight="1" x14ac:dyDescent="0.2">
      <c r="A18" s="19"/>
      <c r="B18" s="557" t="s">
        <v>654</v>
      </c>
      <c r="C18" s="558" t="s">
        <v>655</v>
      </c>
      <c r="D18" s="1790" t="s">
        <v>656</v>
      </c>
      <c r="E18" s="1791"/>
      <c r="F18" s="1792" t="s">
        <v>657</v>
      </c>
      <c r="G18" s="1791"/>
      <c r="H18" s="19"/>
      <c r="I18" s="561" t="s">
        <v>658</v>
      </c>
      <c r="J18" s="19"/>
      <c r="K18" s="563" t="s">
        <v>660</v>
      </c>
      <c r="L18" s="19"/>
      <c r="M18" s="564" t="s">
        <v>661</v>
      </c>
      <c r="N18" s="565"/>
      <c r="O18" s="565"/>
      <c r="P18" s="565"/>
      <c r="Q18" s="565"/>
      <c r="R18" s="565"/>
      <c r="S18" s="565"/>
      <c r="T18" s="19"/>
      <c r="U18" s="565"/>
      <c r="V18" s="565"/>
      <c r="W18" s="565"/>
      <c r="X18" s="19"/>
      <c r="Y18" s="19"/>
      <c r="Z18" s="19"/>
      <c r="AA18" s="19"/>
      <c r="AB18" s="19"/>
      <c r="AC18" s="19"/>
      <c r="AD18" s="19"/>
      <c r="AE18" s="19"/>
      <c r="AF18" s="19"/>
      <c r="AG18" s="19"/>
    </row>
    <row r="19" spans="1:33" ht="12.75" customHeight="1" x14ac:dyDescent="0.2">
      <c r="A19" s="19"/>
      <c r="B19" s="569" t="s">
        <v>663</v>
      </c>
      <c r="C19" s="571">
        <v>2006</v>
      </c>
      <c r="D19" s="1793" t="s">
        <v>664</v>
      </c>
      <c r="E19" s="1794"/>
      <c r="F19" s="1795" t="s">
        <v>666</v>
      </c>
      <c r="G19" s="1794"/>
      <c r="H19" s="19"/>
      <c r="I19" s="577">
        <v>11991000</v>
      </c>
      <c r="J19" s="19"/>
      <c r="K19" s="582">
        <f t="shared" ref="K19:K26" si="1">I19/$I$24</f>
        <v>4.4061813726503085E-3</v>
      </c>
      <c r="L19" s="19"/>
      <c r="M19" s="587">
        <f t="shared" ref="M19:M23" si="2">I19/SUM($I$19:$I$23)</f>
        <v>0.15466235518679342</v>
      </c>
      <c r="N19" s="38"/>
      <c r="O19" s="38"/>
      <c r="P19" s="38"/>
      <c r="Q19" s="38"/>
      <c r="R19" s="38"/>
      <c r="S19" s="38"/>
      <c r="T19" s="19"/>
      <c r="U19" s="38">
        <v>9702000</v>
      </c>
      <c r="V19" s="38"/>
      <c r="W19" s="38"/>
      <c r="X19" s="19"/>
      <c r="Y19" s="19"/>
      <c r="Z19" s="19"/>
      <c r="AA19" s="19"/>
      <c r="AB19" s="19"/>
      <c r="AC19" s="19"/>
      <c r="AD19" s="19"/>
      <c r="AE19" s="19"/>
      <c r="AF19" s="19"/>
      <c r="AG19" s="19"/>
    </row>
    <row r="20" spans="1:33" ht="12.75" customHeight="1" x14ac:dyDescent="0.2">
      <c r="A20" s="19"/>
      <c r="B20" s="592" t="s">
        <v>663</v>
      </c>
      <c r="C20" s="593">
        <v>2006</v>
      </c>
      <c r="D20" s="1793" t="s">
        <v>675</v>
      </c>
      <c r="E20" s="1794"/>
      <c r="F20" s="1795" t="s">
        <v>676</v>
      </c>
      <c r="G20" s="1794"/>
      <c r="H20" s="19"/>
      <c r="I20" s="545">
        <v>10970000</v>
      </c>
      <c r="J20" s="19"/>
      <c r="K20" s="582">
        <f t="shared" si="1"/>
        <v>4.0310073937097728E-3</v>
      </c>
      <c r="L20" s="19"/>
      <c r="M20" s="595">
        <f t="shared" si="2"/>
        <v>0.14149328966717736</v>
      </c>
      <c r="N20" s="38"/>
      <c r="O20" s="38"/>
      <c r="P20" s="38"/>
      <c r="Q20" s="38"/>
      <c r="R20" s="38"/>
      <c r="S20" s="38"/>
      <c r="T20" s="19"/>
      <c r="U20" s="38">
        <v>8297000</v>
      </c>
      <c r="V20" s="38"/>
      <c r="W20" s="38"/>
      <c r="X20" s="19"/>
      <c r="Y20" s="19"/>
      <c r="Z20" s="19"/>
      <c r="AA20" s="19"/>
      <c r="AB20" s="19"/>
      <c r="AC20" s="19"/>
      <c r="AD20" s="19"/>
      <c r="AE20" s="19"/>
      <c r="AF20" s="19"/>
      <c r="AG20" s="19"/>
    </row>
    <row r="21" spans="1:33" ht="12.75" customHeight="1" x14ac:dyDescent="0.2">
      <c r="A21" s="19"/>
      <c r="B21" s="592" t="s">
        <v>663</v>
      </c>
      <c r="C21" s="593">
        <v>2006</v>
      </c>
      <c r="D21" s="1793" t="s">
        <v>678</v>
      </c>
      <c r="E21" s="1794"/>
      <c r="F21" s="1795" t="s">
        <v>680</v>
      </c>
      <c r="G21" s="1794"/>
      <c r="H21" s="19"/>
      <c r="I21" s="545">
        <v>19725000</v>
      </c>
      <c r="J21" s="19"/>
      <c r="K21" s="582">
        <f t="shared" si="1"/>
        <v>7.2480967038218106E-3</v>
      </c>
      <c r="L21" s="19"/>
      <c r="M21" s="595">
        <f t="shared" si="2"/>
        <v>0.25441705913264118</v>
      </c>
      <c r="N21" s="38"/>
      <c r="O21" s="38"/>
      <c r="P21" s="38"/>
      <c r="Q21" s="38"/>
      <c r="R21" s="38"/>
      <c r="S21" s="38"/>
      <c r="T21" s="19"/>
      <c r="U21" s="38">
        <v>24818000</v>
      </c>
      <c r="V21" s="38"/>
      <c r="W21" s="38"/>
      <c r="X21" s="19"/>
      <c r="Y21" s="19"/>
      <c r="Z21" s="19"/>
      <c r="AA21" s="19"/>
      <c r="AB21" s="19"/>
      <c r="AC21" s="19"/>
      <c r="AD21" s="19"/>
      <c r="AE21" s="19"/>
      <c r="AF21" s="19"/>
      <c r="AG21" s="19"/>
    </row>
    <row r="22" spans="1:33" ht="12.75" customHeight="1" x14ac:dyDescent="0.2">
      <c r="A22" s="19"/>
      <c r="B22" s="592" t="s">
        <v>663</v>
      </c>
      <c r="C22" s="593">
        <v>2006</v>
      </c>
      <c r="D22" s="1793" t="s">
        <v>678</v>
      </c>
      <c r="E22" s="1794"/>
      <c r="F22" s="1795" t="s">
        <v>681</v>
      </c>
      <c r="G22" s="1794"/>
      <c r="H22" s="19"/>
      <c r="I22" s="545">
        <v>9811178.4685605839</v>
      </c>
      <c r="J22" s="19"/>
      <c r="K22" s="582">
        <f t="shared" si="1"/>
        <v>3.6051898767341692E-3</v>
      </c>
      <c r="L22" s="19"/>
      <c r="M22" s="595">
        <f t="shared" si="2"/>
        <v>0.12654657402264508</v>
      </c>
      <c r="N22" s="38"/>
      <c r="O22" s="38"/>
      <c r="P22" s="38"/>
      <c r="Q22" s="38"/>
      <c r="R22" s="38"/>
      <c r="S22" s="38"/>
      <c r="T22" s="19"/>
      <c r="U22" s="38">
        <v>16130243.465111727</v>
      </c>
      <c r="V22" s="38"/>
      <c r="W22" s="38"/>
      <c r="X22" s="19"/>
      <c r="Y22" s="19"/>
      <c r="Z22" s="19"/>
      <c r="AA22" s="19"/>
      <c r="AB22" s="19"/>
      <c r="AC22" s="19"/>
      <c r="AD22" s="19"/>
      <c r="AE22" s="19"/>
      <c r="AF22" s="19"/>
      <c r="AG22" s="19"/>
    </row>
    <row r="23" spans="1:33" ht="12.75" customHeight="1" x14ac:dyDescent="0.2">
      <c r="A23" s="19"/>
      <c r="B23" s="592" t="s">
        <v>663</v>
      </c>
      <c r="C23" s="602">
        <v>2006</v>
      </c>
      <c r="D23" s="1796" t="s">
        <v>684</v>
      </c>
      <c r="E23" s="1755"/>
      <c r="F23" s="1797" t="s">
        <v>685</v>
      </c>
      <c r="G23" s="1755"/>
      <c r="H23" s="19"/>
      <c r="I23" s="604">
        <v>25033000</v>
      </c>
      <c r="J23" s="19"/>
      <c r="K23" s="607">
        <f t="shared" si="1"/>
        <v>9.1985604454636952E-3</v>
      </c>
      <c r="L23" s="19"/>
      <c r="M23" s="608">
        <f t="shared" si="2"/>
        <v>0.32288072199074302</v>
      </c>
      <c r="N23" s="38"/>
      <c r="O23" s="38"/>
      <c r="P23" s="38"/>
      <c r="Q23" s="38"/>
      <c r="R23" s="38"/>
      <c r="S23" s="38"/>
      <c r="T23" s="19"/>
      <c r="U23" s="38">
        <v>24070000</v>
      </c>
      <c r="V23" s="38"/>
      <c r="W23" s="38"/>
      <c r="X23" s="19"/>
      <c r="Y23" s="19"/>
      <c r="Z23" s="19"/>
      <c r="AA23" s="19"/>
      <c r="AB23" s="19"/>
      <c r="AC23" s="19"/>
      <c r="AD23" s="19"/>
      <c r="AE23" s="19"/>
      <c r="AF23" s="19"/>
      <c r="AG23" s="19"/>
    </row>
    <row r="24" spans="1:33" ht="15.75" customHeight="1" x14ac:dyDescent="0.25">
      <c r="A24" s="19"/>
      <c r="B24" s="610" t="s">
        <v>689</v>
      </c>
      <c r="C24" s="611">
        <v>2006</v>
      </c>
      <c r="D24" s="1799" t="s">
        <v>690</v>
      </c>
      <c r="E24" s="1791"/>
      <c r="F24" s="1798" t="s">
        <v>692</v>
      </c>
      <c r="G24" s="1791"/>
      <c r="H24" s="19"/>
      <c r="I24" s="615">
        <v>2721404088</v>
      </c>
      <c r="J24" s="19"/>
      <c r="K24" s="618">
        <f t="shared" si="1"/>
        <v>1</v>
      </c>
      <c r="L24" s="19"/>
      <c r="M24" s="619"/>
      <c r="N24" s="38"/>
      <c r="O24" s="38"/>
      <c r="P24" s="38"/>
      <c r="Q24" s="38"/>
      <c r="R24" s="38"/>
      <c r="S24" s="38"/>
      <c r="T24" s="19"/>
      <c r="U24" s="38"/>
      <c r="V24" s="38"/>
      <c r="W24" s="38"/>
      <c r="X24" s="19"/>
      <c r="Y24" s="19"/>
      <c r="Z24" s="19"/>
      <c r="AA24" s="19"/>
      <c r="AB24" s="19"/>
      <c r="AC24" s="19"/>
      <c r="AD24" s="19"/>
      <c r="AE24" s="19"/>
      <c r="AF24" s="19"/>
      <c r="AG24" s="19"/>
    </row>
    <row r="25" spans="1:33" ht="15" customHeight="1" x14ac:dyDescent="0.25">
      <c r="A25" s="19"/>
      <c r="B25" s="592" t="s">
        <v>689</v>
      </c>
      <c r="C25" s="593">
        <v>2006</v>
      </c>
      <c r="D25" s="1793" t="s">
        <v>694</v>
      </c>
      <c r="E25" s="1794"/>
      <c r="F25" s="1795" t="s">
        <v>692</v>
      </c>
      <c r="G25" s="1794"/>
      <c r="H25" s="19"/>
      <c r="I25" s="545">
        <f>I24-SUM(I19:I23)</f>
        <v>2643873909.5314393</v>
      </c>
      <c r="J25" s="19"/>
      <c r="K25" s="582">
        <f t="shared" si="1"/>
        <v>0.97151096420762018</v>
      </c>
      <c r="L25" s="19"/>
      <c r="M25" s="625"/>
      <c r="N25" s="38"/>
      <c r="O25" s="38"/>
      <c r="P25" s="38"/>
      <c r="Q25" s="38"/>
      <c r="R25" s="38"/>
      <c r="S25" s="38"/>
      <c r="T25" s="19"/>
      <c r="U25" s="38"/>
      <c r="V25" s="38"/>
      <c r="W25" s="38"/>
      <c r="X25" s="19"/>
      <c r="Y25" s="19"/>
      <c r="Z25" s="19"/>
      <c r="AA25" s="19"/>
      <c r="AB25" s="19"/>
      <c r="AC25" s="19"/>
      <c r="AD25" s="19"/>
      <c r="AE25" s="19"/>
      <c r="AF25" s="19"/>
      <c r="AG25" s="19"/>
    </row>
    <row r="26" spans="1:33" ht="15" customHeight="1" x14ac:dyDescent="0.25">
      <c r="A26" s="19"/>
      <c r="B26" s="592" t="s">
        <v>689</v>
      </c>
      <c r="C26" s="593">
        <v>2006</v>
      </c>
      <c r="D26" s="1793" t="s">
        <v>696</v>
      </c>
      <c r="E26" s="1794"/>
      <c r="F26" s="1795" t="s">
        <v>692</v>
      </c>
      <c r="G26" s="1794"/>
      <c r="H26" s="19"/>
      <c r="I26" s="545">
        <f>I24-I25</f>
        <v>77530178.468560696</v>
      </c>
      <c r="J26" s="19"/>
      <c r="K26" s="582">
        <f t="shared" si="1"/>
        <v>2.8489035792379797E-2</v>
      </c>
      <c r="L26" s="19"/>
      <c r="M26" s="629">
        <f>SUM(M19:M23)</f>
        <v>1</v>
      </c>
      <c r="N26" s="38"/>
      <c r="O26" s="38"/>
      <c r="P26" s="38"/>
      <c r="Q26" s="38"/>
      <c r="R26" s="38"/>
      <c r="S26" s="38"/>
      <c r="T26" s="19"/>
      <c r="U26" s="38"/>
      <c r="V26" s="38"/>
      <c r="W26" s="38"/>
      <c r="X26" s="19"/>
      <c r="Y26" s="19"/>
      <c r="Z26" s="19"/>
      <c r="AA26" s="19"/>
      <c r="AB26" s="19"/>
      <c r="AC26" s="19"/>
      <c r="AD26" s="19"/>
      <c r="AE26" s="19"/>
      <c r="AF26" s="19"/>
      <c r="AG26" s="19"/>
    </row>
    <row r="27" spans="1:33" ht="12.7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ht="12.75" customHeight="1" x14ac:dyDescent="0.2">
      <c r="A28" s="19"/>
      <c r="B28" s="19"/>
      <c r="C28" s="19"/>
      <c r="D28" s="19"/>
      <c r="E28" s="19"/>
      <c r="F28" s="19"/>
      <c r="G28" s="19"/>
      <c r="H28" s="19"/>
      <c r="I28" s="38">
        <f>I21+I22</f>
        <v>29536178.468560584</v>
      </c>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ht="18.75" customHeight="1" x14ac:dyDescent="0.3">
      <c r="A29" s="19"/>
      <c r="B29" s="1800" t="s">
        <v>702</v>
      </c>
      <c r="C29" s="1777"/>
      <c r="D29" s="1777"/>
      <c r="E29" s="1777"/>
      <c r="F29" s="1771"/>
      <c r="G29" s="19"/>
      <c r="H29" s="19"/>
      <c r="I29" s="19"/>
      <c r="J29" s="19"/>
      <c r="K29" s="19"/>
      <c r="L29" s="565"/>
      <c r="M29" s="19"/>
      <c r="N29" s="19"/>
      <c r="O29" s="19"/>
      <c r="P29" s="19"/>
      <c r="Q29" s="19"/>
      <c r="R29" s="19"/>
      <c r="S29" s="19"/>
      <c r="T29" s="19"/>
      <c r="U29" s="19"/>
      <c r="V29" s="19"/>
      <c r="W29" s="19"/>
      <c r="X29" s="19"/>
      <c r="Y29" s="19"/>
      <c r="Z29" s="19"/>
      <c r="AA29" s="19"/>
      <c r="AB29" s="19"/>
      <c r="AC29" s="19"/>
      <c r="AD29" s="19"/>
      <c r="AE29" s="19"/>
      <c r="AF29" s="19"/>
      <c r="AG29" s="19"/>
    </row>
    <row r="30" spans="1:33" ht="13.5" customHeight="1" x14ac:dyDescent="0.2">
      <c r="A30" s="19"/>
      <c r="B30" s="19"/>
      <c r="C30" s="19"/>
      <c r="D30" s="559"/>
      <c r="E30" s="559"/>
      <c r="F30" s="559"/>
      <c r="G30" s="559"/>
      <c r="H30" s="19"/>
      <c r="I30" s="19"/>
      <c r="J30" s="19"/>
      <c r="K30" s="19"/>
      <c r="L30" s="19"/>
      <c r="M30" s="565"/>
      <c r="N30" s="565"/>
      <c r="O30" s="565"/>
      <c r="P30" s="565"/>
      <c r="Q30" s="565"/>
      <c r="R30" s="565"/>
      <c r="S30" s="565"/>
      <c r="T30" s="19"/>
      <c r="U30" s="565"/>
      <c r="V30" s="565"/>
      <c r="W30" s="565"/>
      <c r="X30" s="19"/>
      <c r="Y30" s="19"/>
      <c r="Z30" s="19"/>
      <c r="AA30" s="19"/>
      <c r="AB30" s="19"/>
      <c r="AC30" s="19"/>
      <c r="AD30" s="19"/>
      <c r="AE30" s="19"/>
      <c r="AF30" s="19"/>
      <c r="AG30" s="19"/>
    </row>
    <row r="31" spans="1:33" ht="26.25" customHeight="1" x14ac:dyDescent="0.2">
      <c r="A31" s="19"/>
      <c r="B31" s="557" t="s">
        <v>654</v>
      </c>
      <c r="C31" s="558" t="s">
        <v>655</v>
      </c>
      <c r="D31" s="1790" t="s">
        <v>656</v>
      </c>
      <c r="E31" s="1791"/>
      <c r="F31" s="1792" t="s">
        <v>657</v>
      </c>
      <c r="G31" s="1791"/>
      <c r="H31" s="19"/>
      <c r="I31" s="561" t="s">
        <v>658</v>
      </c>
      <c r="J31" s="19"/>
      <c r="K31" s="563" t="s">
        <v>660</v>
      </c>
      <c r="L31" s="19"/>
      <c r="M31" s="564" t="s">
        <v>705</v>
      </c>
      <c r="N31" s="19"/>
      <c r="O31" s="19"/>
      <c r="P31" s="19"/>
      <c r="Q31" s="19"/>
      <c r="R31" s="19"/>
      <c r="S31" s="1769" t="s">
        <v>1</v>
      </c>
      <c r="T31" s="1759"/>
      <c r="U31" s="19"/>
      <c r="V31" s="19"/>
      <c r="W31" s="19"/>
      <c r="X31" s="19"/>
      <c r="Y31" s="19"/>
      <c r="Z31" s="19"/>
      <c r="AA31" s="19"/>
      <c r="AB31" s="19"/>
      <c r="AC31" s="19"/>
      <c r="AD31" s="19"/>
      <c r="AE31" s="19"/>
      <c r="AF31" s="19"/>
      <c r="AG31" s="19"/>
    </row>
    <row r="32" spans="1:33" ht="12.75" customHeight="1" x14ac:dyDescent="0.2">
      <c r="A32" s="19"/>
      <c r="B32" s="592" t="s">
        <v>706</v>
      </c>
      <c r="C32" s="593">
        <v>2006</v>
      </c>
      <c r="D32" s="1803" t="s">
        <v>664</v>
      </c>
      <c r="E32" s="1794"/>
      <c r="F32" s="1801" t="s">
        <v>709</v>
      </c>
      <c r="G32" s="1802"/>
      <c r="H32" s="19"/>
      <c r="I32" s="577">
        <v>16854000</v>
      </c>
      <c r="J32" s="19"/>
      <c r="K32" s="638">
        <f t="shared" ref="K32:K39" si="3">I32/$I$37</f>
        <v>2.7050671228749688E-2</v>
      </c>
      <c r="L32" s="19"/>
      <c r="M32" s="587">
        <f t="shared" ref="M32:M36" si="4">I32/SUM($I$32:$I$36)</f>
        <v>9.0471293336338424E-2</v>
      </c>
      <c r="N32" s="19"/>
      <c r="O32" s="19"/>
      <c r="P32" s="19"/>
      <c r="Q32" s="19"/>
      <c r="R32" s="19"/>
      <c r="S32" s="235"/>
      <c r="T32" s="235"/>
      <c r="U32" s="19"/>
      <c r="V32" s="19"/>
      <c r="W32" s="19"/>
      <c r="X32" s="19"/>
      <c r="Y32" s="19"/>
      <c r="Z32" s="19"/>
      <c r="AA32" s="19"/>
      <c r="AB32" s="19"/>
      <c r="AC32" s="19"/>
      <c r="AD32" s="19"/>
      <c r="AE32" s="19"/>
      <c r="AF32" s="19"/>
      <c r="AG32" s="19"/>
    </row>
    <row r="33" spans="1:33" ht="12.75" customHeight="1" x14ac:dyDescent="0.2">
      <c r="A33" s="19"/>
      <c r="B33" s="592" t="s">
        <v>712</v>
      </c>
      <c r="C33" s="593">
        <v>2006</v>
      </c>
      <c r="D33" s="1803" t="s">
        <v>675</v>
      </c>
      <c r="E33" s="1794"/>
      <c r="F33" s="1795" t="s">
        <v>714</v>
      </c>
      <c r="G33" s="1794"/>
      <c r="H33" s="19"/>
      <c r="I33" s="644">
        <v>118516224.14723189</v>
      </c>
      <c r="J33" s="19"/>
      <c r="K33" s="582">
        <f t="shared" si="3"/>
        <v>0.1902185483967945</v>
      </c>
      <c r="L33" s="19"/>
      <c r="M33" s="595">
        <f t="shared" si="4"/>
        <v>0.63618820932357023</v>
      </c>
      <c r="N33" s="19"/>
      <c r="O33" s="19"/>
      <c r="P33" s="19"/>
      <c r="Q33" s="19"/>
      <c r="R33" s="19"/>
      <c r="S33" s="240" t="s">
        <v>433</v>
      </c>
      <c r="T33" s="241">
        <f>Summary!E4</f>
        <v>1</v>
      </c>
      <c r="U33" s="19"/>
      <c r="V33" s="19"/>
      <c r="W33" s="19"/>
      <c r="X33" s="19"/>
      <c r="Y33" s="19"/>
      <c r="Z33" s="19"/>
      <c r="AA33" s="19"/>
      <c r="AB33" s="19"/>
      <c r="AC33" s="19"/>
      <c r="AD33" s="19"/>
      <c r="AE33" s="19"/>
      <c r="AF33" s="19"/>
      <c r="AG33" s="19"/>
    </row>
    <row r="34" spans="1:33" ht="12.75" customHeight="1" x14ac:dyDescent="0.2">
      <c r="A34" s="19"/>
      <c r="B34" s="592" t="s">
        <v>719</v>
      </c>
      <c r="C34" s="593">
        <v>2006</v>
      </c>
      <c r="D34" s="1803" t="s">
        <v>678</v>
      </c>
      <c r="E34" s="1794"/>
      <c r="F34" s="1795" t="s">
        <v>725</v>
      </c>
      <c r="G34" s="1794"/>
      <c r="H34" s="19"/>
      <c r="I34" s="545">
        <v>11441263.232021492</v>
      </c>
      <c r="J34" s="19"/>
      <c r="K34" s="582">
        <f t="shared" si="3"/>
        <v>1.8363228321525777E-2</v>
      </c>
      <c r="L34" s="19"/>
      <c r="M34" s="595">
        <f t="shared" si="4"/>
        <v>6.1416036668000468E-2</v>
      </c>
      <c r="N34" s="19"/>
      <c r="O34" s="19"/>
      <c r="P34" s="19"/>
      <c r="Q34" s="19"/>
      <c r="R34" s="19"/>
      <c r="S34" s="240" t="s">
        <v>438</v>
      </c>
      <c r="T34" s="241">
        <f>Summary!E5</f>
        <v>27.9</v>
      </c>
      <c r="U34" s="19"/>
      <c r="V34" s="19"/>
      <c r="W34" s="19"/>
      <c r="X34" s="19"/>
      <c r="Y34" s="19"/>
      <c r="Z34" s="19"/>
      <c r="AA34" s="19"/>
      <c r="AB34" s="19"/>
      <c r="AC34" s="19"/>
      <c r="AD34" s="19"/>
      <c r="AE34" s="19"/>
      <c r="AF34" s="19"/>
      <c r="AG34" s="19"/>
    </row>
    <row r="35" spans="1:33" ht="12.75" customHeight="1" x14ac:dyDescent="0.2">
      <c r="A35" s="19"/>
      <c r="B35" s="592" t="s">
        <v>733</v>
      </c>
      <c r="C35" s="593">
        <v>2006</v>
      </c>
      <c r="D35" s="1803" t="s">
        <v>734</v>
      </c>
      <c r="E35" s="1794"/>
      <c r="F35" s="1795" t="s">
        <v>735</v>
      </c>
      <c r="G35" s="1794"/>
      <c r="H35" s="19"/>
      <c r="I35" s="668">
        <v>23342571.949999999</v>
      </c>
      <c r="J35" s="19"/>
      <c r="K35" s="582">
        <f t="shared" si="3"/>
        <v>3.7464829681552417E-2</v>
      </c>
      <c r="L35" s="19"/>
      <c r="M35" s="595">
        <f t="shared" si="4"/>
        <v>0.12530157079109025</v>
      </c>
      <c r="N35" s="19"/>
      <c r="O35" s="19"/>
      <c r="P35" s="19"/>
      <c r="Q35" s="19"/>
      <c r="R35" s="19"/>
      <c r="S35" s="240" t="s">
        <v>444</v>
      </c>
      <c r="T35" s="241">
        <f>Summary!E6</f>
        <v>273</v>
      </c>
      <c r="U35" s="19"/>
      <c r="V35" s="19"/>
      <c r="W35" s="19"/>
      <c r="X35" s="19"/>
      <c r="Y35" s="19"/>
      <c r="Z35" s="19"/>
      <c r="AA35" s="19"/>
      <c r="AB35" s="19"/>
      <c r="AC35" s="19"/>
      <c r="AD35" s="19"/>
      <c r="AE35" s="19"/>
      <c r="AF35" s="19"/>
      <c r="AG35" s="19"/>
    </row>
    <row r="36" spans="1:33" ht="15" customHeight="1" x14ac:dyDescent="0.25">
      <c r="A36" s="19"/>
      <c r="B36" s="677" t="s">
        <v>719</v>
      </c>
      <c r="C36" s="678">
        <v>2006</v>
      </c>
      <c r="D36" s="1804" t="s">
        <v>741</v>
      </c>
      <c r="E36" s="1755"/>
      <c r="F36" s="1797" t="s">
        <v>742</v>
      </c>
      <c r="G36" s="1755"/>
      <c r="H36" s="19"/>
      <c r="I36" s="604">
        <v>16137076.548987413</v>
      </c>
      <c r="J36" s="19"/>
      <c r="K36" s="607">
        <f t="shared" si="3"/>
        <v>2.5900009037606805E-2</v>
      </c>
      <c r="L36" s="3"/>
      <c r="M36" s="608">
        <f t="shared" si="4"/>
        <v>8.6622889881000836E-2</v>
      </c>
      <c r="N36" s="19"/>
      <c r="O36" s="19"/>
      <c r="P36" s="19"/>
      <c r="Q36" s="19"/>
      <c r="R36" s="19"/>
      <c r="S36" s="240" t="s">
        <v>447</v>
      </c>
      <c r="T36" s="247">
        <f>Summary!E7</f>
        <v>24300</v>
      </c>
      <c r="U36" s="19"/>
      <c r="V36" s="19"/>
      <c r="W36" s="19"/>
      <c r="X36" s="19"/>
      <c r="Y36" s="19"/>
      <c r="Z36" s="19"/>
      <c r="AA36" s="19"/>
      <c r="AB36" s="19"/>
      <c r="AC36" s="19"/>
      <c r="AD36" s="19"/>
      <c r="AE36" s="19"/>
      <c r="AF36" s="19"/>
      <c r="AG36" s="19"/>
    </row>
    <row r="37" spans="1:33" ht="15.75" customHeight="1" x14ac:dyDescent="0.25">
      <c r="A37" s="19"/>
      <c r="B37" s="610" t="s">
        <v>719</v>
      </c>
      <c r="C37" s="691">
        <v>2006</v>
      </c>
      <c r="D37" s="1799" t="s">
        <v>756</v>
      </c>
      <c r="E37" s="1791"/>
      <c r="F37" s="1805" t="s">
        <v>692</v>
      </c>
      <c r="G37" s="1791"/>
      <c r="H37" s="318"/>
      <c r="I37" s="694">
        <v>623052931.20000005</v>
      </c>
      <c r="J37" s="318"/>
      <c r="K37" s="618">
        <f t="shared" si="3"/>
        <v>1</v>
      </c>
      <c r="L37" s="3"/>
      <c r="M37" s="619"/>
      <c r="N37" s="3"/>
      <c r="O37" s="3"/>
      <c r="P37" s="3"/>
      <c r="Q37" s="3"/>
      <c r="R37" s="3"/>
      <c r="S37" s="240"/>
      <c r="T37" s="247"/>
      <c r="U37" s="3"/>
      <c r="V37" s="3"/>
      <c r="W37" s="3"/>
      <c r="X37" s="3"/>
      <c r="Y37" s="3"/>
      <c r="Z37" s="3"/>
      <c r="AA37" s="3"/>
      <c r="AB37" s="3"/>
      <c r="AC37" s="3"/>
      <c r="AD37" s="3"/>
      <c r="AE37" s="3"/>
      <c r="AF37" s="3"/>
      <c r="AG37" s="3"/>
    </row>
    <row r="38" spans="1:33" ht="15" customHeight="1" x14ac:dyDescent="0.25">
      <c r="A38" s="19"/>
      <c r="B38" s="592" t="s">
        <v>762</v>
      </c>
      <c r="C38" s="593">
        <v>2006</v>
      </c>
      <c r="D38" s="1793" t="s">
        <v>767</v>
      </c>
      <c r="E38" s="1794"/>
      <c r="F38" s="1806" t="s">
        <v>692</v>
      </c>
      <c r="G38" s="1794"/>
      <c r="H38" s="3"/>
      <c r="I38" s="711">
        <f>I37-SUM(I32:I36)</f>
        <v>436761795.32175928</v>
      </c>
      <c r="J38" s="3"/>
      <c r="K38" s="582">
        <f t="shared" si="3"/>
        <v>0.70100271333377084</v>
      </c>
      <c r="L38" s="3"/>
      <c r="M38" s="625"/>
      <c r="N38" s="3"/>
      <c r="O38" s="3"/>
      <c r="P38" s="3"/>
      <c r="Q38" s="3"/>
      <c r="R38" s="3"/>
      <c r="S38" s="3"/>
      <c r="T38" s="3"/>
      <c r="U38" s="3"/>
      <c r="V38" s="3"/>
      <c r="W38" s="3"/>
      <c r="X38" s="3"/>
      <c r="Y38" s="3"/>
      <c r="Z38" s="3"/>
      <c r="AA38" s="3"/>
      <c r="AB38" s="3"/>
      <c r="AC38" s="3"/>
      <c r="AD38" s="3"/>
      <c r="AE38" s="3"/>
      <c r="AF38" s="3"/>
      <c r="AG38" s="3"/>
    </row>
    <row r="39" spans="1:33" ht="15" customHeight="1" x14ac:dyDescent="0.25">
      <c r="A39" s="19"/>
      <c r="B39" s="592" t="s">
        <v>762</v>
      </c>
      <c r="C39" s="593">
        <v>2006</v>
      </c>
      <c r="D39" s="1793" t="s">
        <v>778</v>
      </c>
      <c r="E39" s="1794"/>
      <c r="F39" s="1806" t="s">
        <v>692</v>
      </c>
      <c r="G39" s="1794"/>
      <c r="H39" s="3"/>
      <c r="I39" s="711">
        <f>I37-I38</f>
        <v>186291135.87824076</v>
      </c>
      <c r="J39" s="3"/>
      <c r="K39" s="582">
        <f t="shared" si="3"/>
        <v>0.29899728666622916</v>
      </c>
      <c r="L39" s="3"/>
      <c r="M39" s="629">
        <f>SUM(M32:M36)</f>
        <v>1.0000000000000002</v>
      </c>
      <c r="N39" s="3"/>
      <c r="O39" s="3"/>
      <c r="P39" s="3"/>
      <c r="Q39" s="3"/>
      <c r="R39" s="3"/>
      <c r="S39" s="3"/>
      <c r="T39" s="3"/>
      <c r="U39" s="3"/>
      <c r="V39" s="3"/>
      <c r="W39" s="3"/>
      <c r="X39" s="3"/>
      <c r="Y39" s="3"/>
      <c r="Z39" s="3"/>
      <c r="AA39" s="3"/>
      <c r="AB39" s="3"/>
      <c r="AC39" s="3"/>
      <c r="AD39" s="3"/>
      <c r="AE39" s="3"/>
      <c r="AF39" s="3"/>
      <c r="AG39" s="3"/>
    </row>
    <row r="40" spans="1:33" ht="15" customHeight="1" x14ac:dyDescent="0.25">
      <c r="A40" s="3"/>
      <c r="B40" s="3"/>
      <c r="C40" s="3"/>
      <c r="D40" s="3"/>
      <c r="E40" s="3"/>
      <c r="F40" s="3"/>
      <c r="G40" s="3"/>
      <c r="H40" s="3"/>
      <c r="I40" s="714"/>
      <c r="J40" s="3"/>
      <c r="K40" s="715"/>
      <c r="L40" s="3"/>
      <c r="M40" s="3"/>
      <c r="N40" s="3"/>
      <c r="O40" s="3"/>
      <c r="P40" s="3"/>
      <c r="Q40" s="3"/>
      <c r="R40" s="3"/>
      <c r="S40" s="3"/>
      <c r="T40" s="3"/>
      <c r="U40" s="3"/>
      <c r="V40" s="3"/>
      <c r="W40" s="3"/>
      <c r="X40" s="3"/>
      <c r="Y40" s="3"/>
      <c r="Z40" s="3"/>
      <c r="AA40" s="3"/>
      <c r="AB40" s="3"/>
      <c r="AC40" s="3"/>
      <c r="AD40" s="3"/>
      <c r="AE40" s="3"/>
      <c r="AF40" s="3"/>
      <c r="AG40" s="3"/>
    </row>
    <row r="41" spans="1:33"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row>
    <row r="42" spans="1:33" ht="15.75" customHeight="1" x14ac:dyDescent="0.25">
      <c r="A42" s="3"/>
      <c r="B42" s="3"/>
      <c r="C42" s="722">
        <v>2006</v>
      </c>
      <c r="D42" s="1810" t="s">
        <v>785</v>
      </c>
      <c r="E42" s="1794"/>
      <c r="F42" s="1811" t="s">
        <v>95</v>
      </c>
      <c r="G42" s="1777"/>
      <c r="H42" s="1812"/>
      <c r="I42" s="727">
        <f>SUM(I32:I35)</f>
        <v>170154059.32925335</v>
      </c>
      <c r="J42" s="3"/>
      <c r="K42" s="3"/>
      <c r="L42" s="3"/>
      <c r="M42" s="3"/>
      <c r="N42" s="3"/>
      <c r="O42" s="3"/>
      <c r="P42" s="3"/>
      <c r="Q42" s="3"/>
      <c r="R42" s="3"/>
      <c r="S42" s="3"/>
      <c r="T42" s="3"/>
      <c r="U42" s="3"/>
      <c r="V42" s="3"/>
      <c r="W42" s="3"/>
      <c r="X42" s="3"/>
      <c r="Y42" s="3"/>
      <c r="Z42" s="3"/>
      <c r="AA42" s="3"/>
      <c r="AB42" s="3"/>
      <c r="AC42" s="3"/>
      <c r="AD42" s="3"/>
      <c r="AE42" s="3"/>
      <c r="AF42" s="3"/>
      <c r="AG42" s="3"/>
    </row>
    <row r="43" spans="1:33" ht="15" customHeight="1" x14ac:dyDescent="0.25">
      <c r="A43" s="3"/>
      <c r="B43" s="3"/>
      <c r="C43" s="722">
        <v>2006</v>
      </c>
      <c r="D43" s="1813" t="s">
        <v>734</v>
      </c>
      <c r="E43" s="1794"/>
      <c r="F43" s="1814" t="s">
        <v>652</v>
      </c>
      <c r="G43" s="1766"/>
      <c r="H43" s="1794"/>
      <c r="I43" s="730">
        <v>0</v>
      </c>
      <c r="J43" s="732"/>
      <c r="K43" s="3"/>
      <c r="L43" s="3"/>
      <c r="M43" s="3"/>
      <c r="N43" s="3"/>
      <c r="O43" s="3"/>
      <c r="P43" s="3"/>
      <c r="Q43" s="3"/>
      <c r="R43" s="3"/>
      <c r="S43" s="3"/>
      <c r="T43" s="3"/>
      <c r="U43" s="3"/>
      <c r="V43" s="3"/>
      <c r="W43" s="3"/>
      <c r="X43" s="3"/>
      <c r="Y43" s="3"/>
      <c r="Z43" s="3"/>
      <c r="AA43" s="3"/>
      <c r="AB43" s="3"/>
      <c r="AC43" s="3"/>
      <c r="AD43" s="3"/>
      <c r="AE43" s="3"/>
      <c r="AF43" s="3"/>
      <c r="AG43" s="3"/>
    </row>
    <row r="44" spans="1:33" ht="15" customHeight="1" x14ac:dyDescent="0.25">
      <c r="A44" s="3"/>
      <c r="B44" s="625" t="s">
        <v>719</v>
      </c>
      <c r="C44" s="722">
        <v>2006</v>
      </c>
      <c r="D44" s="1813" t="s">
        <v>741</v>
      </c>
      <c r="E44" s="1794"/>
      <c r="F44" s="734" t="s">
        <v>787</v>
      </c>
      <c r="G44" s="3"/>
      <c r="H44" s="3"/>
      <c r="I44" s="735">
        <v>51301974.751073644</v>
      </c>
      <c r="J44" s="714"/>
      <c r="K44" s="3"/>
      <c r="L44" s="3"/>
      <c r="M44" s="3"/>
      <c r="N44" s="3"/>
      <c r="O44" s="3"/>
      <c r="P44" s="3"/>
      <c r="Q44" s="3"/>
      <c r="R44" s="3"/>
      <c r="S44" s="3"/>
      <c r="T44" s="3"/>
      <c r="U44" s="3"/>
      <c r="V44" s="3"/>
      <c r="W44" s="3"/>
      <c r="X44" s="3"/>
      <c r="Y44" s="3"/>
      <c r="Z44" s="3"/>
      <c r="AA44" s="3"/>
      <c r="AB44" s="3"/>
      <c r="AC44" s="3"/>
      <c r="AD44" s="3"/>
      <c r="AE44" s="3"/>
      <c r="AF44" s="3"/>
      <c r="AG44" s="3"/>
    </row>
    <row r="45" spans="1:33" ht="15.75" customHeight="1" x14ac:dyDescent="0.25">
      <c r="A45" s="318"/>
      <c r="B45" s="318"/>
      <c r="C45" s="318"/>
      <c r="D45" s="1818" t="s">
        <v>789</v>
      </c>
      <c r="E45" s="1791"/>
      <c r="F45" s="1815" t="s">
        <v>95</v>
      </c>
      <c r="G45" s="1816"/>
      <c r="H45" s="1817"/>
      <c r="I45" s="740">
        <f>SUM(I43:I44)</f>
        <v>51301974.751073644</v>
      </c>
      <c r="J45" s="742"/>
      <c r="K45" s="318"/>
      <c r="L45" s="318"/>
      <c r="M45" s="318"/>
      <c r="N45" s="3"/>
      <c r="O45" s="3"/>
      <c r="P45" s="3"/>
      <c r="Q45" s="3"/>
      <c r="R45" s="3"/>
      <c r="S45" s="3"/>
      <c r="T45" s="3"/>
      <c r="U45" s="3"/>
      <c r="V45" s="3"/>
      <c r="W45" s="3"/>
      <c r="X45" s="3"/>
      <c r="Y45" s="3"/>
      <c r="Z45" s="3"/>
      <c r="AA45" s="3"/>
      <c r="AB45" s="3"/>
      <c r="AC45" s="3"/>
      <c r="AD45" s="3"/>
      <c r="AE45" s="3"/>
      <c r="AF45" s="3"/>
      <c r="AG45" s="3"/>
    </row>
    <row r="46" spans="1:33" ht="15" customHeight="1" x14ac:dyDescent="0.25">
      <c r="A46" s="3"/>
      <c r="B46" s="3" t="s">
        <v>792</v>
      </c>
      <c r="C46" s="3"/>
      <c r="D46" s="3"/>
      <c r="F46" s="3"/>
      <c r="G46" s="3"/>
      <c r="H46" s="3"/>
      <c r="I46" s="3"/>
      <c r="J46" s="714"/>
      <c r="K46" s="3"/>
      <c r="L46" s="3"/>
      <c r="M46" s="3"/>
      <c r="N46" s="3"/>
      <c r="O46" s="3"/>
      <c r="P46" s="3"/>
      <c r="Q46" s="3"/>
      <c r="R46" s="3"/>
      <c r="S46" s="3"/>
      <c r="T46" s="3"/>
      <c r="U46" s="3"/>
      <c r="V46" s="3"/>
      <c r="W46" s="3"/>
      <c r="X46" s="3"/>
      <c r="Y46" s="3"/>
      <c r="Z46" s="3"/>
      <c r="AA46" s="3"/>
      <c r="AB46" s="3"/>
      <c r="AC46" s="3"/>
      <c r="AD46" s="3"/>
      <c r="AE46" s="3"/>
      <c r="AF46" s="3"/>
      <c r="AG46" s="3"/>
    </row>
    <row r="47" spans="1:33" ht="15" customHeight="1" x14ac:dyDescent="0.25">
      <c r="A47" s="3"/>
      <c r="B47" s="745" t="s">
        <v>685</v>
      </c>
      <c r="C47" s="746">
        <v>124238</v>
      </c>
      <c r="D47" s="3" t="s">
        <v>797</v>
      </c>
      <c r="E47" s="3"/>
      <c r="F47" s="3"/>
      <c r="G47" s="3"/>
      <c r="H47" s="3"/>
      <c r="I47" s="3"/>
      <c r="J47" s="714"/>
      <c r="K47" s="3"/>
      <c r="L47" s="3"/>
      <c r="M47" s="3"/>
      <c r="N47" s="3"/>
      <c r="O47" s="3"/>
      <c r="P47" s="3"/>
      <c r="Q47" s="3"/>
      <c r="R47" s="3"/>
      <c r="S47" s="3"/>
      <c r="T47" s="3"/>
      <c r="U47" s="3"/>
      <c r="V47" s="3"/>
      <c r="W47" s="3"/>
      <c r="X47" s="3"/>
      <c r="Y47" s="3"/>
      <c r="Z47" s="3"/>
      <c r="AA47" s="3"/>
      <c r="AB47" s="3"/>
      <c r="AC47" s="3"/>
      <c r="AD47" s="3"/>
      <c r="AE47" s="3"/>
      <c r="AF47" s="3"/>
      <c r="AG47" s="3"/>
    </row>
    <row r="48" spans="1:33" ht="15" customHeight="1" x14ac:dyDescent="0.25">
      <c r="A48" s="3"/>
      <c r="B48" s="745" t="s">
        <v>798</v>
      </c>
      <c r="C48" s="746">
        <v>138690</v>
      </c>
      <c r="D48" s="3" t="s">
        <v>797</v>
      </c>
      <c r="E48" s="3"/>
      <c r="F48" s="3"/>
      <c r="G48" s="3"/>
      <c r="H48" s="3"/>
      <c r="I48" s="3"/>
      <c r="J48" s="714"/>
      <c r="K48" s="3"/>
      <c r="L48" s="3"/>
      <c r="M48" s="3"/>
      <c r="N48" s="3"/>
      <c r="O48" s="3"/>
      <c r="P48" s="3"/>
      <c r="Q48" s="3"/>
      <c r="R48" s="3"/>
      <c r="S48" s="3"/>
      <c r="T48" s="3"/>
      <c r="U48" s="3"/>
      <c r="V48" s="3"/>
      <c r="W48" s="3"/>
      <c r="X48" s="3"/>
      <c r="Y48" s="3"/>
      <c r="Z48" s="3"/>
      <c r="AA48" s="3"/>
      <c r="AB48" s="3"/>
      <c r="AC48" s="3"/>
      <c r="AD48" s="3"/>
      <c r="AE48" s="3"/>
      <c r="AF48" s="3"/>
      <c r="AG48" s="3"/>
    </row>
    <row r="49" spans="1:33" ht="15.75" customHeight="1" x14ac:dyDescent="0.25">
      <c r="A49" s="318"/>
      <c r="B49" s="318"/>
      <c r="C49" s="318"/>
      <c r="D49" s="1819"/>
      <c r="E49" s="1820"/>
      <c r="F49" s="318"/>
      <c r="G49" s="318"/>
      <c r="H49" s="318"/>
      <c r="I49" s="318"/>
      <c r="J49" s="318"/>
      <c r="K49" s="318"/>
      <c r="L49" s="318"/>
      <c r="M49" s="318"/>
      <c r="N49" s="3"/>
      <c r="O49" s="3"/>
      <c r="P49" s="3"/>
      <c r="Q49" s="3"/>
      <c r="R49" s="3"/>
      <c r="S49" s="3"/>
      <c r="T49" s="3"/>
      <c r="U49" s="3"/>
      <c r="V49" s="3"/>
      <c r="W49" s="3"/>
      <c r="X49" s="3"/>
      <c r="Y49" s="3"/>
      <c r="Z49" s="3"/>
      <c r="AA49" s="3"/>
      <c r="AB49" s="3"/>
      <c r="AC49" s="3"/>
      <c r="AD49" s="3"/>
      <c r="AE49" s="3"/>
      <c r="AF49" s="3"/>
      <c r="AG49" s="3"/>
    </row>
    <row r="50" spans="1:33" ht="21" customHeight="1" x14ac:dyDescent="0.4">
      <c r="A50" s="3"/>
      <c r="B50" s="11" t="s">
        <v>799</v>
      </c>
      <c r="C50" s="3"/>
      <c r="D50" s="3"/>
      <c r="E50" s="3"/>
      <c r="F50" s="3"/>
      <c r="G50" s="3"/>
      <c r="H50" s="3"/>
      <c r="I50" s="3"/>
      <c r="M50" s="3"/>
      <c r="N50" s="3"/>
      <c r="O50" s="3"/>
      <c r="P50" s="3"/>
      <c r="Q50" s="3"/>
      <c r="R50" s="3"/>
      <c r="S50" s="3"/>
      <c r="T50" s="3"/>
      <c r="U50" s="3"/>
      <c r="V50" s="3"/>
      <c r="W50" s="3"/>
      <c r="X50" s="3"/>
      <c r="Y50" s="3"/>
      <c r="Z50" s="3"/>
      <c r="AA50" s="3"/>
      <c r="AB50" s="3"/>
      <c r="AC50" s="3"/>
      <c r="AD50" s="3"/>
      <c r="AE50" s="3"/>
      <c r="AF50" s="3"/>
      <c r="AG50" s="3"/>
    </row>
    <row r="51" spans="1:33" ht="21.75" customHeight="1" x14ac:dyDescent="0.4">
      <c r="B51" s="750" t="s">
        <v>802</v>
      </c>
      <c r="C51" s="751"/>
      <c r="D51" s="753"/>
      <c r="E51" s="753"/>
      <c r="F51" s="751"/>
      <c r="G51" s="751"/>
      <c r="H51" s="751"/>
      <c r="I51" s="751"/>
      <c r="J51" s="751"/>
      <c r="K51" s="751"/>
      <c r="L51" s="751"/>
      <c r="M51" s="751"/>
      <c r="N51" s="751"/>
      <c r="O51" s="751"/>
      <c r="P51" s="3"/>
      <c r="Q51" s="3"/>
      <c r="R51" s="3"/>
      <c r="S51" s="3"/>
    </row>
    <row r="52" spans="1:33" ht="13.5" customHeight="1" x14ac:dyDescent="0.25">
      <c r="B52" s="289"/>
      <c r="E52" s="2"/>
      <c r="F52" s="289"/>
      <c r="G52" s="289"/>
      <c r="H52" s="2"/>
      <c r="I52" s="2"/>
      <c r="J52" s="2"/>
      <c r="K52" s="758"/>
      <c r="L52" s="759"/>
      <c r="M52" s="760" t="s">
        <v>803</v>
      </c>
      <c r="N52" s="759"/>
      <c r="O52" s="761"/>
      <c r="P52" s="2"/>
      <c r="Q52" s="758"/>
      <c r="R52" s="759"/>
      <c r="S52" s="759"/>
      <c r="T52" s="760" t="s">
        <v>804</v>
      </c>
      <c r="U52" s="764"/>
      <c r="V52" s="764"/>
      <c r="W52" s="764"/>
      <c r="X52" s="765"/>
      <c r="Z52" s="766"/>
      <c r="AA52" s="768" t="s">
        <v>805</v>
      </c>
      <c r="AB52" s="760"/>
      <c r="AC52" s="760"/>
      <c r="AD52" s="760"/>
      <c r="AE52" s="765"/>
      <c r="AG52" s="769" t="s">
        <v>806</v>
      </c>
    </row>
    <row r="53" spans="1:33" ht="12.75" customHeight="1" x14ac:dyDescent="0.2">
      <c r="A53" s="19"/>
      <c r="B53" s="205"/>
      <c r="C53" s="211" t="s">
        <v>351</v>
      </c>
      <c r="D53" s="19"/>
      <c r="E53" s="211" t="s">
        <v>351</v>
      </c>
      <c r="F53" s="211"/>
      <c r="G53" s="211" t="s">
        <v>354</v>
      </c>
      <c r="H53" s="205"/>
      <c r="I53" s="211" t="s">
        <v>355</v>
      </c>
      <c r="J53" s="205"/>
      <c r="K53" s="772" t="s">
        <v>356</v>
      </c>
      <c r="L53" s="205"/>
      <c r="M53" s="252" t="s">
        <v>356</v>
      </c>
      <c r="N53" s="205"/>
      <c r="O53" s="773" t="s">
        <v>356</v>
      </c>
      <c r="P53" s="205"/>
      <c r="Q53" s="774"/>
      <c r="R53" s="205"/>
      <c r="S53" s="205"/>
      <c r="T53" s="19"/>
      <c r="U53" s="19"/>
      <c r="V53" s="19"/>
      <c r="W53" s="19"/>
      <c r="X53" s="776"/>
      <c r="Y53" s="19"/>
      <c r="Z53" s="778"/>
      <c r="AA53" s="19"/>
      <c r="AB53" s="19"/>
      <c r="AC53" s="19"/>
      <c r="AD53" s="19"/>
      <c r="AE53" s="776"/>
      <c r="AF53" s="19"/>
      <c r="AG53" s="780" t="s">
        <v>5</v>
      </c>
    </row>
    <row r="54" spans="1:33" ht="35.25" customHeight="1" x14ac:dyDescent="0.25">
      <c r="A54" s="19"/>
      <c r="B54" s="782" t="s">
        <v>20</v>
      </c>
      <c r="C54" s="211" t="s">
        <v>808</v>
      </c>
      <c r="D54" s="19"/>
      <c r="E54" s="211" t="s">
        <v>362</v>
      </c>
      <c r="F54" s="205"/>
      <c r="G54" s="211" t="s">
        <v>363</v>
      </c>
      <c r="H54" s="205"/>
      <c r="I54" s="211" t="s">
        <v>364</v>
      </c>
      <c r="J54" s="205"/>
      <c r="K54" s="784" t="s">
        <v>365</v>
      </c>
      <c r="L54" s="211"/>
      <c r="M54" s="211" t="s">
        <v>810</v>
      </c>
      <c r="N54" s="205"/>
      <c r="O54" s="773" t="s">
        <v>812</v>
      </c>
      <c r="P54" s="205"/>
      <c r="Q54" s="786" t="s">
        <v>813</v>
      </c>
      <c r="R54" s="787" t="s">
        <v>815</v>
      </c>
      <c r="S54" s="787" t="s">
        <v>816</v>
      </c>
      <c r="T54" s="789" t="s">
        <v>817</v>
      </c>
      <c r="U54" s="19"/>
      <c r="V54" s="789" t="s">
        <v>818</v>
      </c>
      <c r="W54" s="19"/>
      <c r="X54" s="790" t="s">
        <v>819</v>
      </c>
      <c r="Y54" s="787"/>
      <c r="Z54" s="786" t="s">
        <v>820</v>
      </c>
      <c r="AA54" s="789" t="s">
        <v>821</v>
      </c>
      <c r="AB54" s="19"/>
      <c r="AC54" s="789" t="s">
        <v>822</v>
      </c>
      <c r="AD54" s="19"/>
      <c r="AE54" s="790" t="s">
        <v>823</v>
      </c>
      <c r="AF54" s="19"/>
      <c r="AG54" s="792" t="s">
        <v>824</v>
      </c>
    </row>
    <row r="55" spans="1:33" ht="12.75" customHeight="1" x14ac:dyDescent="0.2">
      <c r="A55" s="19"/>
      <c r="B55" s="205" t="s">
        <v>825</v>
      </c>
      <c r="C55" s="38">
        <f>E5</f>
        <v>4526231.38217822</v>
      </c>
      <c r="D55" s="19"/>
      <c r="E55" s="802">
        <f>G5</f>
        <v>544.00990517227706</v>
      </c>
      <c r="F55" s="244" t="s">
        <v>755</v>
      </c>
      <c r="G55" s="215">
        <v>41.563876651982376</v>
      </c>
      <c r="H55" s="244" t="s">
        <v>755</v>
      </c>
      <c r="I55" s="216">
        <v>1</v>
      </c>
      <c r="J55" s="244" t="s">
        <v>740</v>
      </c>
      <c r="K55" s="807">
        <f t="shared" ref="K55:K71" si="5">E55*1000*G55*I55/2000</f>
        <v>11305.580298018574</v>
      </c>
      <c r="L55" s="244" t="s">
        <v>740</v>
      </c>
      <c r="M55" s="219">
        <f t="shared" ref="M55:M71" si="6">K55*0.90718/1000000</f>
        <v>1.025619633475649E-2</v>
      </c>
      <c r="N55" s="244" t="s">
        <v>740</v>
      </c>
      <c r="O55" s="812">
        <f t="shared" ref="O55:O71" si="7">M55*44/12</f>
        <v>3.7606053227440463E-2</v>
      </c>
      <c r="P55" s="205"/>
      <c r="Q55" s="814">
        <v>22.257999999999999</v>
      </c>
      <c r="R55" s="19"/>
      <c r="S55" s="815">
        <v>0.04</v>
      </c>
      <c r="T55" s="817">
        <f>E55*1000*Q55*S55/1000000000</f>
        <v>4.8434289877298162E-4</v>
      </c>
      <c r="U55" s="244" t="s">
        <v>740</v>
      </c>
      <c r="V55" s="818">
        <f t="shared" ref="V55:V61" si="8">T55*$T$35*12/44*1000</f>
        <v>36.061530372279265</v>
      </c>
      <c r="W55" s="244" t="s">
        <v>740</v>
      </c>
      <c r="X55" s="821">
        <f t="shared" ref="X55:X61" si="9">V55*44/12</f>
        <v>132.22561136502398</v>
      </c>
      <c r="Y55" s="823"/>
      <c r="Z55" s="825">
        <v>2.64</v>
      </c>
      <c r="AA55" s="817">
        <f>E55*1000*Q55*Z55/1000000000</f>
        <v>3.1966631319016788E-2</v>
      </c>
      <c r="AB55" s="244" t="s">
        <v>740</v>
      </c>
      <c r="AC55" s="823">
        <f t="shared" ref="AC55:AC61" si="10">AA55*$T$34*12/44*1000</f>
        <v>243.23700376379136</v>
      </c>
      <c r="AD55" s="244" t="s">
        <v>740</v>
      </c>
      <c r="AE55" s="828">
        <f t="shared" ref="AE55:AE61" si="11">AC55*44/12</f>
        <v>891.86901380056827</v>
      </c>
      <c r="AF55" s="19" t="s">
        <v>755</v>
      </c>
      <c r="AG55" s="831">
        <f t="shared" ref="AG55:AG61" si="12">X55+AE55</f>
        <v>1024.0946251655923</v>
      </c>
    </row>
    <row r="56" spans="1:33" ht="12.75" customHeight="1" x14ac:dyDescent="0.2">
      <c r="A56" s="19"/>
      <c r="B56" s="205" t="s">
        <v>841</v>
      </c>
      <c r="C56" s="834">
        <f t="shared" ref="C56:C60" si="13">I32</f>
        <v>16854000</v>
      </c>
      <c r="D56" s="19"/>
      <c r="E56" s="802">
        <f t="shared" ref="E56:E60" si="14">C56*$C$48/1000000000</f>
        <v>2337.48126</v>
      </c>
      <c r="F56" s="244" t="s">
        <v>755</v>
      </c>
      <c r="G56" s="215">
        <v>43.942731277533035</v>
      </c>
      <c r="H56" s="244" t="s">
        <v>755</v>
      </c>
      <c r="I56" s="216">
        <v>1</v>
      </c>
      <c r="J56" s="244" t="s">
        <v>740</v>
      </c>
      <c r="K56" s="807">
        <f t="shared" si="5"/>
        <v>51357.655437224668</v>
      </c>
      <c r="L56" s="244" t="s">
        <v>740</v>
      </c>
      <c r="M56" s="219">
        <f t="shared" si="6"/>
        <v>4.659063785954147E-2</v>
      </c>
      <c r="N56" s="244" t="s">
        <v>740</v>
      </c>
      <c r="O56" s="812">
        <f t="shared" si="7"/>
        <v>0.17083233881831872</v>
      </c>
      <c r="P56" s="205"/>
      <c r="Q56" s="778"/>
      <c r="R56" s="838">
        <v>3.1920000000000002</v>
      </c>
      <c r="S56" s="839">
        <v>0.08</v>
      </c>
      <c r="T56" s="817">
        <f t="shared" ref="T56:T60" si="15">C56*R56*S56/1000000000</f>
        <v>4.3038374400000004E-3</v>
      </c>
      <c r="U56" s="244" t="s">
        <v>740</v>
      </c>
      <c r="V56" s="818">
        <f t="shared" si="8"/>
        <v>320.4402603054545</v>
      </c>
      <c r="W56" s="244" t="s">
        <v>740</v>
      </c>
      <c r="X56" s="821">
        <f t="shared" si="9"/>
        <v>1174.9476211199999</v>
      </c>
      <c r="Y56" s="19"/>
      <c r="Z56" s="825">
        <v>0.45</v>
      </c>
      <c r="AA56" s="817">
        <f t="shared" ref="AA56:AA60" si="16">C56*R56*Z56/1000000000</f>
        <v>2.4209085600000003E-2</v>
      </c>
      <c r="AB56" s="244" t="s">
        <v>740</v>
      </c>
      <c r="AC56" s="823">
        <f t="shared" si="10"/>
        <v>184.20913315636366</v>
      </c>
      <c r="AD56" s="244" t="s">
        <v>740</v>
      </c>
      <c r="AE56" s="828">
        <f t="shared" si="11"/>
        <v>675.43348824000009</v>
      </c>
      <c r="AF56" s="19"/>
      <c r="AG56" s="831">
        <f t="shared" si="12"/>
        <v>1850.38110936</v>
      </c>
    </row>
    <row r="57" spans="1:33" ht="12.75" customHeight="1" x14ac:dyDescent="0.2">
      <c r="A57" s="19"/>
      <c r="B57" s="205" t="s">
        <v>843</v>
      </c>
      <c r="C57" s="834">
        <f t="shared" si="13"/>
        <v>118516224.14723189</v>
      </c>
      <c r="D57" s="19"/>
      <c r="E57" s="802">
        <f t="shared" si="14"/>
        <v>16437.015126979593</v>
      </c>
      <c r="F57" s="244" t="s">
        <v>755</v>
      </c>
      <c r="G57" s="215">
        <v>43.942731277533035</v>
      </c>
      <c r="H57" s="244" t="s">
        <v>755</v>
      </c>
      <c r="I57" s="216">
        <v>1</v>
      </c>
      <c r="J57" s="244" t="s">
        <v>740</v>
      </c>
      <c r="K57" s="807">
        <f t="shared" si="5"/>
        <v>361143.66936480493</v>
      </c>
      <c r="L57" s="244" t="s">
        <v>740</v>
      </c>
      <c r="M57" s="219">
        <f t="shared" si="6"/>
        <v>0.32762231397436375</v>
      </c>
      <c r="N57" s="244" t="s">
        <v>740</v>
      </c>
      <c r="O57" s="812">
        <f t="shared" si="7"/>
        <v>1.2012818179060003</v>
      </c>
      <c r="P57" s="205"/>
      <c r="Q57" s="778"/>
      <c r="R57" s="838">
        <v>3.1920000000000002</v>
      </c>
      <c r="S57" s="839">
        <v>0.08</v>
      </c>
      <c r="T57" s="817">
        <f t="shared" si="15"/>
        <v>3.0264302998237135E-2</v>
      </c>
      <c r="U57" s="244" t="s">
        <v>740</v>
      </c>
      <c r="V57" s="818">
        <f t="shared" si="8"/>
        <v>2253.3149232323835</v>
      </c>
      <c r="W57" s="244" t="s">
        <v>740</v>
      </c>
      <c r="X57" s="821">
        <f t="shared" si="9"/>
        <v>8262.1547185187392</v>
      </c>
      <c r="Y57" s="19"/>
      <c r="Z57" s="825">
        <v>0.45</v>
      </c>
      <c r="AA57" s="817">
        <f t="shared" si="16"/>
        <v>0.1702367043650839</v>
      </c>
      <c r="AB57" s="244" t="s">
        <v>740</v>
      </c>
      <c r="AC57" s="823">
        <f t="shared" si="10"/>
        <v>1295.3465595779562</v>
      </c>
      <c r="AD57" s="244" t="s">
        <v>740</v>
      </c>
      <c r="AE57" s="828">
        <f t="shared" si="11"/>
        <v>4749.6040517858391</v>
      </c>
      <c r="AF57" s="19"/>
      <c r="AG57" s="831">
        <f t="shared" si="12"/>
        <v>13011.758770304579</v>
      </c>
    </row>
    <row r="58" spans="1:33" ht="12.75" customHeight="1" x14ac:dyDescent="0.2">
      <c r="A58" s="19"/>
      <c r="B58" s="205" t="s">
        <v>844</v>
      </c>
      <c r="C58" s="834">
        <f t="shared" si="13"/>
        <v>11441263.232021492</v>
      </c>
      <c r="D58" s="19"/>
      <c r="E58" s="802">
        <f t="shared" si="14"/>
        <v>1586.7887976490608</v>
      </c>
      <c r="F58" s="244" t="s">
        <v>755</v>
      </c>
      <c r="G58" s="215">
        <v>43.942731277533035</v>
      </c>
      <c r="H58" s="244" t="s">
        <v>755</v>
      </c>
      <c r="I58" s="216">
        <v>1</v>
      </c>
      <c r="J58" s="244" t="s">
        <v>740</v>
      </c>
      <c r="K58" s="807">
        <f t="shared" si="5"/>
        <v>34863.916864646213</v>
      </c>
      <c r="L58" s="244" t="s">
        <v>740</v>
      </c>
      <c r="M58" s="219">
        <f t="shared" si="6"/>
        <v>3.162784810126975E-2</v>
      </c>
      <c r="N58" s="244" t="s">
        <v>740</v>
      </c>
      <c r="O58" s="812">
        <f t="shared" si="7"/>
        <v>0.11596877637132241</v>
      </c>
      <c r="P58" s="205"/>
      <c r="Q58" s="778"/>
      <c r="R58" s="838">
        <v>3.1920000000000002</v>
      </c>
      <c r="S58" s="839">
        <v>0.08</v>
      </c>
      <c r="T58" s="817">
        <f t="shared" si="15"/>
        <v>2.9216409789290083E-3</v>
      </c>
      <c r="U58" s="244" t="s">
        <v>740</v>
      </c>
      <c r="V58" s="818">
        <f t="shared" si="8"/>
        <v>217.52945106753253</v>
      </c>
      <c r="W58" s="244" t="s">
        <v>740</v>
      </c>
      <c r="X58" s="821">
        <f t="shared" si="9"/>
        <v>797.60798724761935</v>
      </c>
      <c r="Y58" s="19"/>
      <c r="Z58" s="825">
        <v>0.18</v>
      </c>
      <c r="AA58" s="817">
        <f t="shared" si="16"/>
        <v>6.5736922025902682E-3</v>
      </c>
      <c r="AB58" s="244" t="s">
        <v>740</v>
      </c>
      <c r="AC58" s="823">
        <f t="shared" si="10"/>
        <v>50.019821577891399</v>
      </c>
      <c r="AD58" s="244" t="s">
        <v>740</v>
      </c>
      <c r="AE58" s="828">
        <f t="shared" si="11"/>
        <v>183.40601245226847</v>
      </c>
      <c r="AF58" s="19"/>
      <c r="AG58" s="831">
        <f t="shared" si="12"/>
        <v>981.01399969988779</v>
      </c>
    </row>
    <row r="59" spans="1:33" ht="12.75" customHeight="1" x14ac:dyDescent="0.2">
      <c r="A59" s="19"/>
      <c r="B59" s="205" t="s">
        <v>845</v>
      </c>
      <c r="C59" s="834">
        <f t="shared" si="13"/>
        <v>23342571.949999999</v>
      </c>
      <c r="D59" s="19"/>
      <c r="E59" s="802">
        <f t="shared" si="14"/>
        <v>3237.3813037455002</v>
      </c>
      <c r="F59" s="244" t="s">
        <v>755</v>
      </c>
      <c r="G59" s="215">
        <v>43.942731277533035</v>
      </c>
      <c r="H59" s="244" t="s">
        <v>755</v>
      </c>
      <c r="I59" s="216">
        <v>1</v>
      </c>
      <c r="J59" s="244" t="s">
        <v>740</v>
      </c>
      <c r="K59" s="807">
        <f t="shared" si="5"/>
        <v>71129.688336699037</v>
      </c>
      <c r="L59" s="244" t="s">
        <v>740</v>
      </c>
      <c r="M59" s="219">
        <f t="shared" si="6"/>
        <v>6.4527430665286628E-2</v>
      </c>
      <c r="N59" s="244" t="s">
        <v>740</v>
      </c>
      <c r="O59" s="812">
        <f t="shared" si="7"/>
        <v>0.23660057910605095</v>
      </c>
      <c r="P59" s="205"/>
      <c r="Q59" s="778"/>
      <c r="R59" s="838">
        <v>3.1920000000000002</v>
      </c>
      <c r="S59" s="839">
        <v>0.08</v>
      </c>
      <c r="T59" s="817">
        <f t="shared" si="15"/>
        <v>5.9607591731520001E-3</v>
      </c>
      <c r="U59" s="244" t="s">
        <v>740</v>
      </c>
      <c r="V59" s="818">
        <f t="shared" si="8"/>
        <v>443.80561480104433</v>
      </c>
      <c r="W59" s="244" t="s">
        <v>740</v>
      </c>
      <c r="X59" s="821">
        <f t="shared" si="9"/>
        <v>1627.2872542704961</v>
      </c>
      <c r="Y59" s="19"/>
      <c r="Z59" s="825">
        <v>0.25</v>
      </c>
      <c r="AA59" s="817">
        <f t="shared" si="16"/>
        <v>1.8627372416099998E-2</v>
      </c>
      <c r="AB59" s="244" t="s">
        <v>740</v>
      </c>
      <c r="AC59" s="823">
        <f t="shared" si="10"/>
        <v>141.73737011159727</v>
      </c>
      <c r="AD59" s="244" t="s">
        <v>740</v>
      </c>
      <c r="AE59" s="828">
        <f t="shared" si="11"/>
        <v>519.70369040919002</v>
      </c>
      <c r="AF59" s="19"/>
      <c r="AG59" s="831">
        <f t="shared" si="12"/>
        <v>2146.990944679686</v>
      </c>
    </row>
    <row r="60" spans="1:33" ht="12.75" customHeight="1" x14ac:dyDescent="0.2">
      <c r="A60" s="19"/>
      <c r="B60" s="205" t="s">
        <v>847</v>
      </c>
      <c r="C60" s="834">
        <f t="shared" si="13"/>
        <v>16137076.548987413</v>
      </c>
      <c r="D60" s="19"/>
      <c r="E60" s="802">
        <f t="shared" si="14"/>
        <v>2238.0511465790646</v>
      </c>
      <c r="F60" s="244" t="s">
        <v>755</v>
      </c>
      <c r="G60" s="215">
        <v>43.942731277533035</v>
      </c>
      <c r="H60" s="244" t="s">
        <v>755</v>
      </c>
      <c r="I60" s="216">
        <v>1</v>
      </c>
      <c r="J60" s="244" t="s">
        <v>740</v>
      </c>
      <c r="K60" s="807">
        <f t="shared" si="5"/>
        <v>49173.040059749263</v>
      </c>
      <c r="L60" s="244" t="s">
        <v>740</v>
      </c>
      <c r="M60" s="219">
        <f t="shared" si="6"/>
        <v>4.4608798481403332E-2</v>
      </c>
      <c r="N60" s="244" t="s">
        <v>740</v>
      </c>
      <c r="O60" s="812">
        <f t="shared" si="7"/>
        <v>0.16356559443181221</v>
      </c>
      <c r="P60" s="205"/>
      <c r="Q60" s="778"/>
      <c r="R60" s="838">
        <v>3.1920000000000002</v>
      </c>
      <c r="S60" s="839">
        <v>0.08</v>
      </c>
      <c r="T60" s="817">
        <f t="shared" si="15"/>
        <v>4.1207638675494259E-3</v>
      </c>
      <c r="U60" s="244" t="s">
        <v>740</v>
      </c>
      <c r="V60" s="818">
        <f t="shared" si="8"/>
        <v>306.80960068390726</v>
      </c>
      <c r="W60" s="244" t="s">
        <v>740</v>
      </c>
      <c r="X60" s="821">
        <f t="shared" si="9"/>
        <v>1124.9685358409934</v>
      </c>
      <c r="Y60" s="19"/>
      <c r="Z60" s="825">
        <v>0.23</v>
      </c>
      <c r="AA60" s="817">
        <f t="shared" si="16"/>
        <v>1.18471961192046E-2</v>
      </c>
      <c r="AB60" s="244" t="s">
        <v>740</v>
      </c>
      <c r="AC60" s="823">
        <f t="shared" si="10"/>
        <v>90.146392288856802</v>
      </c>
      <c r="AD60" s="244" t="s">
        <v>740</v>
      </c>
      <c r="AE60" s="828">
        <f t="shared" si="11"/>
        <v>330.53677172580825</v>
      </c>
      <c r="AF60" s="19"/>
      <c r="AG60" s="831">
        <f t="shared" si="12"/>
        <v>1455.5053075668015</v>
      </c>
    </row>
    <row r="61" spans="1:33" ht="12.75" customHeight="1" x14ac:dyDescent="0.2">
      <c r="A61" s="19"/>
      <c r="B61" s="205" t="s">
        <v>848</v>
      </c>
      <c r="C61" s="38">
        <f>C8</f>
        <v>4144.0214299999998</v>
      </c>
      <c r="D61" s="19"/>
      <c r="E61" s="802">
        <f>G8</f>
        <v>23496.60151</v>
      </c>
      <c r="F61" s="244" t="s">
        <v>755</v>
      </c>
      <c r="G61" s="847">
        <v>42.625219031514924</v>
      </c>
      <c r="H61" s="244" t="s">
        <v>755</v>
      </c>
      <c r="I61" s="216">
        <v>1</v>
      </c>
      <c r="J61" s="244" t="s">
        <v>740</v>
      </c>
      <c r="K61" s="807">
        <f t="shared" si="5"/>
        <v>500773.89292998717</v>
      </c>
      <c r="L61" s="244" t="s">
        <v>740</v>
      </c>
      <c r="M61" s="219">
        <f t="shared" si="6"/>
        <v>0.45429206018822577</v>
      </c>
      <c r="N61" s="244" t="s">
        <v>740</v>
      </c>
      <c r="O61" s="812">
        <f t="shared" si="7"/>
        <v>1.6657375540234944</v>
      </c>
      <c r="P61" s="205"/>
      <c r="Q61" s="814">
        <v>22.24</v>
      </c>
      <c r="R61" s="19"/>
      <c r="S61" s="815">
        <v>0.1</v>
      </c>
      <c r="T61" s="817">
        <f>E61*1000*Q61*S61/1000000000</f>
        <v>5.2256441758240006E-2</v>
      </c>
      <c r="U61" s="244" t="s">
        <v>740</v>
      </c>
      <c r="V61" s="818">
        <f t="shared" si="8"/>
        <v>3890.7296181816873</v>
      </c>
      <c r="W61" s="244" t="s">
        <v>740</v>
      </c>
      <c r="X61" s="821">
        <f t="shared" si="9"/>
        <v>14266.008599999521</v>
      </c>
      <c r="Y61" s="19"/>
      <c r="Z61" s="825">
        <v>8.7000000000000008E-2</v>
      </c>
      <c r="AA61" s="817">
        <f>E61*1000*Q61*Z61/1000000000</f>
        <v>4.5463104329668803E-2</v>
      </c>
      <c r="AB61" s="244" t="s">
        <v>740</v>
      </c>
      <c r="AC61" s="823">
        <f t="shared" si="10"/>
        <v>345.93289385393439</v>
      </c>
      <c r="AD61" s="244" t="s">
        <v>740</v>
      </c>
      <c r="AE61" s="828">
        <f t="shared" si="11"/>
        <v>1268.4206107977595</v>
      </c>
      <c r="AF61" s="19" t="s">
        <v>755</v>
      </c>
      <c r="AG61" s="831">
        <f t="shared" si="12"/>
        <v>15534.42921079728</v>
      </c>
    </row>
    <row r="62" spans="1:33" ht="12.75" customHeight="1" x14ac:dyDescent="0.2">
      <c r="A62" s="19"/>
      <c r="B62" s="205" t="s">
        <v>849</v>
      </c>
      <c r="C62" s="850">
        <v>0</v>
      </c>
      <c r="D62" s="19"/>
      <c r="E62" s="802">
        <v>0</v>
      </c>
      <c r="F62" s="244" t="s">
        <v>755</v>
      </c>
      <c r="G62" s="215">
        <v>43.5</v>
      </c>
      <c r="H62" s="244" t="s">
        <v>755</v>
      </c>
      <c r="I62" s="216">
        <v>1</v>
      </c>
      <c r="J62" s="244" t="s">
        <v>740</v>
      </c>
      <c r="K62" s="807">
        <f t="shared" si="5"/>
        <v>0</v>
      </c>
      <c r="L62" s="244" t="s">
        <v>740</v>
      </c>
      <c r="M62" s="219">
        <f t="shared" si="6"/>
        <v>0</v>
      </c>
      <c r="N62" s="244" t="s">
        <v>740</v>
      </c>
      <c r="O62" s="812">
        <f t="shared" si="7"/>
        <v>0</v>
      </c>
      <c r="P62" s="205"/>
      <c r="Q62" s="774"/>
      <c r="R62" s="205"/>
      <c r="S62" s="815">
        <v>0.1</v>
      </c>
      <c r="T62" s="19"/>
      <c r="U62" s="19"/>
      <c r="V62" s="852"/>
      <c r="W62" s="19"/>
      <c r="X62" s="853"/>
      <c r="Y62" s="19"/>
      <c r="Z62" s="825">
        <v>8.6999999999999994E-2</v>
      </c>
      <c r="AA62" s="19"/>
      <c r="AB62" s="19"/>
      <c r="AC62" s="19"/>
      <c r="AD62" s="19"/>
      <c r="AE62" s="776"/>
      <c r="AF62" s="19"/>
      <c r="AG62" s="854"/>
    </row>
    <row r="63" spans="1:33" ht="12.75" customHeight="1" x14ac:dyDescent="0.2">
      <c r="A63" s="19"/>
      <c r="B63" s="205" t="s">
        <v>526</v>
      </c>
      <c r="C63" s="38">
        <f>E9</f>
        <v>1832181.96</v>
      </c>
      <c r="D63" s="19"/>
      <c r="E63" s="802">
        <f>G9</f>
        <v>157.26228</v>
      </c>
      <c r="F63" s="244" t="s">
        <v>755</v>
      </c>
      <c r="G63" s="847">
        <v>37.905939726350034</v>
      </c>
      <c r="H63" s="244" t="s">
        <v>755</v>
      </c>
      <c r="I63" s="216">
        <v>1</v>
      </c>
      <c r="J63" s="244" t="s">
        <v>740</v>
      </c>
      <c r="K63" s="807">
        <f t="shared" si="5"/>
        <v>2980.5872534541913</v>
      </c>
      <c r="L63" s="244" t="s">
        <v>740</v>
      </c>
      <c r="M63" s="219">
        <f t="shared" si="6"/>
        <v>2.7039291445885732E-3</v>
      </c>
      <c r="N63" s="244" t="s">
        <v>740</v>
      </c>
      <c r="O63" s="812">
        <f t="shared" si="7"/>
        <v>9.9144068634914352E-3</v>
      </c>
      <c r="P63" s="205"/>
      <c r="Q63" s="774"/>
      <c r="R63" s="205"/>
      <c r="S63" s="205"/>
      <c r="T63" s="19"/>
      <c r="U63" s="19"/>
      <c r="V63" s="852"/>
      <c r="W63" s="19"/>
      <c r="X63" s="853"/>
      <c r="Y63" s="19"/>
      <c r="Z63" s="778"/>
      <c r="AA63" s="19"/>
      <c r="AB63" s="19"/>
      <c r="AC63" s="19"/>
      <c r="AD63" s="19"/>
      <c r="AE63" s="776"/>
      <c r="AF63" s="19"/>
      <c r="AG63" s="854"/>
    </row>
    <row r="64" spans="1:33" ht="12.75" customHeight="1" x14ac:dyDescent="0.2">
      <c r="A64" s="19"/>
      <c r="B64" s="205" t="s">
        <v>851</v>
      </c>
      <c r="C64" s="834">
        <f t="shared" ref="C64:C68" si="17">I19</f>
        <v>11991000</v>
      </c>
      <c r="D64" s="19"/>
      <c r="E64" s="802">
        <f>K26*G11</f>
        <v>9632.1943125770431</v>
      </c>
      <c r="F64" s="244" t="s">
        <v>755</v>
      </c>
      <c r="G64" s="847">
        <v>42.62265</v>
      </c>
      <c r="H64" s="244" t="s">
        <v>755</v>
      </c>
      <c r="I64" s="216">
        <v>1</v>
      </c>
      <c r="J64" s="244" t="s">
        <v>740</v>
      </c>
      <c r="K64" s="807">
        <f t="shared" si="5"/>
        <v>205274.82345848094</v>
      </c>
      <c r="L64" s="244" t="s">
        <v>740</v>
      </c>
      <c r="M64" s="219">
        <f t="shared" si="6"/>
        <v>0.18622121434506475</v>
      </c>
      <c r="N64" s="244" t="s">
        <v>740</v>
      </c>
      <c r="O64" s="812">
        <f t="shared" si="7"/>
        <v>0.68281111926523741</v>
      </c>
      <c r="P64" s="205"/>
      <c r="Q64" s="774"/>
      <c r="R64" s="839">
        <v>2.8008999999999999</v>
      </c>
      <c r="S64" s="839">
        <v>0.08</v>
      </c>
      <c r="T64" s="817">
        <f t="shared" ref="T64:T69" si="18">C64*R64*S64/1000000000</f>
        <v>2.6868473519999999E-3</v>
      </c>
      <c r="U64" s="244" t="s">
        <v>740</v>
      </c>
      <c r="V64" s="818">
        <f t="shared" ref="V64:V69" si="19">T64*$T$35*12/44*1000</f>
        <v>200.04799829890914</v>
      </c>
      <c r="W64" s="244" t="s">
        <v>740</v>
      </c>
      <c r="X64" s="821">
        <f t="shared" ref="X64:X69" si="20">V64*44/12</f>
        <v>733.50932709600011</v>
      </c>
      <c r="Y64" s="19"/>
      <c r="Z64" s="825">
        <v>0.45</v>
      </c>
      <c r="AA64" s="817">
        <f t="shared" ref="AA64:AA69" si="21">C64*R64*Z64/1000000000</f>
        <v>1.5113516355E-2</v>
      </c>
      <c r="AB64" s="244" t="s">
        <v>740</v>
      </c>
      <c r="AC64" s="823">
        <f t="shared" ref="AC64:AC69" si="22">AA64*$T$34*12/44*1000</f>
        <v>115.00011990122725</v>
      </c>
      <c r="AD64" s="244" t="s">
        <v>740</v>
      </c>
      <c r="AE64" s="828">
        <f t="shared" ref="AE64:AE69" si="23">AC64*44/12</f>
        <v>421.6671063044999</v>
      </c>
      <c r="AF64" s="19"/>
      <c r="AG64" s="831">
        <f t="shared" ref="AG64:AG69" si="24">X64+AE64</f>
        <v>1155.1764334004999</v>
      </c>
    </row>
    <row r="65" spans="1:33" ht="12.75" customHeight="1" x14ac:dyDescent="0.2">
      <c r="A65" s="19"/>
      <c r="B65" s="205" t="s">
        <v>862</v>
      </c>
      <c r="C65" s="834">
        <f t="shared" si="17"/>
        <v>10970000</v>
      </c>
      <c r="D65" s="19"/>
      <c r="E65" s="802">
        <f>C65*C47/1000000000</f>
        <v>1362.89086</v>
      </c>
      <c r="F65" s="244" t="s">
        <v>755</v>
      </c>
      <c r="G65" s="847">
        <v>42.62265</v>
      </c>
      <c r="H65" s="244" t="s">
        <v>755</v>
      </c>
      <c r="I65" s="216">
        <v>1</v>
      </c>
      <c r="J65" s="244" t="s">
        <v>740</v>
      </c>
      <c r="K65" s="807">
        <f t="shared" si="5"/>
        <v>29045.010056989497</v>
      </c>
      <c r="L65" s="244" t="s">
        <v>740</v>
      </c>
      <c r="M65" s="219">
        <f t="shared" si="6"/>
        <v>2.634905222349973E-2</v>
      </c>
      <c r="N65" s="244" t="s">
        <v>740</v>
      </c>
      <c r="O65" s="812">
        <f t="shared" si="7"/>
        <v>9.6613191486165692E-2</v>
      </c>
      <c r="P65" s="205"/>
      <c r="Q65" s="774"/>
      <c r="R65" s="839">
        <v>2.8008999999999999</v>
      </c>
      <c r="S65" s="839">
        <v>0.08</v>
      </c>
      <c r="T65" s="817">
        <f t="shared" si="18"/>
        <v>2.4580698399999999E-3</v>
      </c>
      <c r="U65" s="244" t="s">
        <v>740</v>
      </c>
      <c r="V65" s="818">
        <f t="shared" si="19"/>
        <v>183.01447263272726</v>
      </c>
      <c r="W65" s="244" t="s">
        <v>740</v>
      </c>
      <c r="X65" s="821">
        <f t="shared" si="20"/>
        <v>671.05306631999997</v>
      </c>
      <c r="Y65" s="19"/>
      <c r="Z65" s="825">
        <v>0.45</v>
      </c>
      <c r="AA65" s="817">
        <f t="shared" si="21"/>
        <v>1.3826642849999999E-2</v>
      </c>
      <c r="AB65" s="244" t="s">
        <v>740</v>
      </c>
      <c r="AC65" s="823">
        <f t="shared" si="22"/>
        <v>105.2081824131818</v>
      </c>
      <c r="AD65" s="244" t="s">
        <v>740</v>
      </c>
      <c r="AE65" s="828">
        <f t="shared" si="23"/>
        <v>385.76333551499994</v>
      </c>
      <c r="AF65" s="19"/>
      <c r="AG65" s="831">
        <f t="shared" si="24"/>
        <v>1056.8164018349999</v>
      </c>
    </row>
    <row r="66" spans="1:33" ht="12.75" customHeight="1" x14ac:dyDescent="0.2">
      <c r="A66" s="19"/>
      <c r="B66" s="205" t="s">
        <v>865</v>
      </c>
      <c r="C66" s="834">
        <f t="shared" si="17"/>
        <v>19725000</v>
      </c>
      <c r="D66" s="19"/>
      <c r="E66" s="802">
        <f>C66*C47/1000000000</f>
        <v>2450.5945499999998</v>
      </c>
      <c r="F66" s="244" t="s">
        <v>755</v>
      </c>
      <c r="G66" s="847">
        <v>42.62265</v>
      </c>
      <c r="H66" s="244" t="s">
        <v>755</v>
      </c>
      <c r="I66" s="216">
        <v>1</v>
      </c>
      <c r="J66" s="244" t="s">
        <v>740</v>
      </c>
      <c r="K66" s="807">
        <f t="shared" si="5"/>
        <v>52225.416898278745</v>
      </c>
      <c r="L66" s="244" t="s">
        <v>740</v>
      </c>
      <c r="M66" s="219">
        <f t="shared" si="6"/>
        <v>4.7377853701780513E-2</v>
      </c>
      <c r="N66" s="244" t="s">
        <v>740</v>
      </c>
      <c r="O66" s="812">
        <f t="shared" si="7"/>
        <v>0.17371879690652856</v>
      </c>
      <c r="P66" s="205"/>
      <c r="Q66" s="774"/>
      <c r="R66" s="838">
        <v>2.8008999999999999</v>
      </c>
      <c r="S66" s="839">
        <v>0.08</v>
      </c>
      <c r="T66" s="817">
        <f t="shared" si="18"/>
        <v>4.4198202000000006E-3</v>
      </c>
      <c r="U66" s="244" t="s">
        <v>740</v>
      </c>
      <c r="V66" s="818">
        <f t="shared" si="19"/>
        <v>329.07570398181821</v>
      </c>
      <c r="W66" s="244" t="s">
        <v>740</v>
      </c>
      <c r="X66" s="821">
        <f t="shared" si="20"/>
        <v>1206.6109146000001</v>
      </c>
      <c r="Y66" s="19"/>
      <c r="Z66" s="825">
        <v>0.18</v>
      </c>
      <c r="AA66" s="817">
        <f t="shared" si="21"/>
        <v>9.9445954499999996E-3</v>
      </c>
      <c r="AB66" s="244" t="s">
        <v>740</v>
      </c>
      <c r="AC66" s="823">
        <f t="shared" si="22"/>
        <v>75.669330833181803</v>
      </c>
      <c r="AD66" s="244" t="s">
        <v>740</v>
      </c>
      <c r="AE66" s="828">
        <f t="shared" si="23"/>
        <v>277.45421305499991</v>
      </c>
      <c r="AF66" s="19"/>
      <c r="AG66" s="831">
        <f t="shared" si="24"/>
        <v>1484.065127655</v>
      </c>
    </row>
    <row r="67" spans="1:33" ht="12.75" customHeight="1" x14ac:dyDescent="0.2">
      <c r="A67" s="19"/>
      <c r="B67" s="205" t="s">
        <v>869</v>
      </c>
      <c r="C67" s="834">
        <f t="shared" si="17"/>
        <v>9811178.4685605839</v>
      </c>
      <c r="D67" s="19"/>
      <c r="E67" s="802">
        <f>C67*C47/1000000000</f>
        <v>1218.9211905770298</v>
      </c>
      <c r="F67" s="244" t="s">
        <v>755</v>
      </c>
      <c r="G67" s="847">
        <v>42.62265</v>
      </c>
      <c r="H67" s="244" t="s">
        <v>755</v>
      </c>
      <c r="I67" s="216">
        <v>1</v>
      </c>
      <c r="J67" s="244" t="s">
        <v>740</v>
      </c>
      <c r="K67" s="807">
        <f t="shared" si="5"/>
        <v>25976.825641774019</v>
      </c>
      <c r="L67" s="244" t="s">
        <v>740</v>
      </c>
      <c r="M67" s="219">
        <f t="shared" si="6"/>
        <v>2.3565656685704553E-2</v>
      </c>
      <c r="N67" s="244" t="s">
        <v>740</v>
      </c>
      <c r="O67" s="812">
        <f t="shared" si="7"/>
        <v>8.640740784758337E-2</v>
      </c>
      <c r="P67" s="205"/>
      <c r="Q67" s="774"/>
      <c r="R67" s="838">
        <v>2.8008999999999999</v>
      </c>
      <c r="S67" s="839">
        <v>0.08</v>
      </c>
      <c r="T67" s="817">
        <f t="shared" si="18"/>
        <v>2.1984103818073072E-3</v>
      </c>
      <c r="U67" s="244" t="s">
        <v>740</v>
      </c>
      <c r="V67" s="818">
        <f t="shared" si="19"/>
        <v>163.68164570001679</v>
      </c>
      <c r="W67" s="244" t="s">
        <v>740</v>
      </c>
      <c r="X67" s="821">
        <f t="shared" si="20"/>
        <v>600.16603423339495</v>
      </c>
      <c r="Y67" s="19"/>
      <c r="Z67" s="825">
        <v>0.18</v>
      </c>
      <c r="AA67" s="817">
        <f t="shared" si="21"/>
        <v>4.9464233590664408E-3</v>
      </c>
      <c r="AB67" s="244" t="s">
        <v>740</v>
      </c>
      <c r="AC67" s="823">
        <f t="shared" si="22"/>
        <v>37.637785013987376</v>
      </c>
      <c r="AD67" s="244" t="s">
        <v>740</v>
      </c>
      <c r="AE67" s="828">
        <f t="shared" si="23"/>
        <v>138.0052117179537</v>
      </c>
      <c r="AF67" s="19"/>
      <c r="AG67" s="831">
        <f t="shared" si="24"/>
        <v>738.17124595134862</v>
      </c>
    </row>
    <row r="68" spans="1:33" ht="12.75" customHeight="1" x14ac:dyDescent="0.2">
      <c r="A68" s="19"/>
      <c r="B68" s="19" t="s">
        <v>873</v>
      </c>
      <c r="C68" s="834">
        <f t="shared" si="17"/>
        <v>25033000</v>
      </c>
      <c r="D68" s="19"/>
      <c r="E68" s="802">
        <f>C68*C47/1000000000</f>
        <v>3110.0498539999999</v>
      </c>
      <c r="F68" s="244" t="s">
        <v>755</v>
      </c>
      <c r="G68" s="847">
        <v>42.62265</v>
      </c>
      <c r="H68" s="244" t="s">
        <v>755</v>
      </c>
      <c r="I68" s="216">
        <v>1</v>
      </c>
      <c r="J68" s="244" t="s">
        <v>740</v>
      </c>
      <c r="K68" s="807">
        <f t="shared" si="5"/>
        <v>66279.283204796549</v>
      </c>
      <c r="L68" s="244" t="s">
        <v>740</v>
      </c>
      <c r="M68" s="219">
        <f t="shared" si="6"/>
        <v>6.0127240137727335E-2</v>
      </c>
      <c r="N68" s="244" t="s">
        <v>740</v>
      </c>
      <c r="O68" s="812">
        <f t="shared" si="7"/>
        <v>0.22046654717166689</v>
      </c>
      <c r="P68" s="205"/>
      <c r="Q68" s="774"/>
      <c r="R68" s="863">
        <v>2.8008999999999999</v>
      </c>
      <c r="S68" s="864">
        <v>0.08</v>
      </c>
      <c r="T68" s="817">
        <f t="shared" si="18"/>
        <v>5.6091943759999999E-3</v>
      </c>
      <c r="U68" s="244" t="s">
        <v>740</v>
      </c>
      <c r="V68" s="818">
        <f t="shared" si="19"/>
        <v>417.63001763127272</v>
      </c>
      <c r="W68" s="244" t="s">
        <v>740</v>
      </c>
      <c r="X68" s="821">
        <f t="shared" si="20"/>
        <v>1531.310064648</v>
      </c>
      <c r="Y68" s="19"/>
      <c r="Z68" s="866">
        <v>0.23</v>
      </c>
      <c r="AA68" s="817">
        <f t="shared" si="21"/>
        <v>1.6126433831E-2</v>
      </c>
      <c r="AB68" s="244" t="s">
        <v>740</v>
      </c>
      <c r="AC68" s="823">
        <f t="shared" si="22"/>
        <v>122.70750105951818</v>
      </c>
      <c r="AD68" s="244" t="s">
        <v>740</v>
      </c>
      <c r="AE68" s="828">
        <f t="shared" si="23"/>
        <v>449.92750388489998</v>
      </c>
      <c r="AF68" s="19"/>
      <c r="AG68" s="831">
        <f t="shared" si="24"/>
        <v>1981.2375685329</v>
      </c>
    </row>
    <row r="69" spans="1:33" ht="12.75" customHeight="1" x14ac:dyDescent="0.2">
      <c r="A69" s="19"/>
      <c r="B69" s="205" t="s">
        <v>392</v>
      </c>
      <c r="C69" s="38">
        <f>E14</f>
        <v>51301974.780000001</v>
      </c>
      <c r="D69" s="19"/>
      <c r="E69" s="802">
        <f>G14</f>
        <v>7679.4170299999996</v>
      </c>
      <c r="F69" s="244" t="s">
        <v>755</v>
      </c>
      <c r="G69" s="215">
        <v>47.33480176211453</v>
      </c>
      <c r="H69" s="244" t="s">
        <v>755</v>
      </c>
      <c r="I69" s="216">
        <v>1</v>
      </c>
      <c r="J69" s="244" t="s">
        <v>740</v>
      </c>
      <c r="K69" s="807">
        <f t="shared" si="5"/>
        <v>181751.84138182816</v>
      </c>
      <c r="L69" s="244" t="s">
        <v>740</v>
      </c>
      <c r="M69" s="219">
        <f t="shared" si="6"/>
        <v>0.16488163546476689</v>
      </c>
      <c r="N69" s="244" t="s">
        <v>740</v>
      </c>
      <c r="O69" s="812">
        <f t="shared" si="7"/>
        <v>0.60456599670414524</v>
      </c>
      <c r="P69" s="205"/>
      <c r="Q69" s="774"/>
      <c r="R69" s="838">
        <v>3.5750000000000002</v>
      </c>
      <c r="S69" s="839">
        <v>0.08</v>
      </c>
      <c r="T69" s="817">
        <f t="shared" si="18"/>
        <v>1.4672364787080002E-2</v>
      </c>
      <c r="U69" s="244" t="s">
        <v>740</v>
      </c>
      <c r="V69" s="818">
        <f t="shared" si="19"/>
        <v>1092.42425096532</v>
      </c>
      <c r="W69" s="244" t="s">
        <v>740</v>
      </c>
      <c r="X69" s="821">
        <f t="shared" si="20"/>
        <v>4005.5555868728402</v>
      </c>
      <c r="Y69" s="19"/>
      <c r="Z69" s="825">
        <v>0.23</v>
      </c>
      <c r="AA69" s="817">
        <f t="shared" si="21"/>
        <v>4.2183048762855009E-2</v>
      </c>
      <c r="AB69" s="244" t="s">
        <v>740</v>
      </c>
      <c r="AC69" s="823">
        <f t="shared" si="22"/>
        <v>320.9746528591786</v>
      </c>
      <c r="AD69" s="244" t="s">
        <v>740</v>
      </c>
      <c r="AE69" s="828">
        <f t="shared" si="23"/>
        <v>1176.907060483655</v>
      </c>
      <c r="AF69" s="19"/>
      <c r="AG69" s="831">
        <f t="shared" si="24"/>
        <v>5182.4626473564949</v>
      </c>
    </row>
    <row r="70" spans="1:33" ht="12.75" customHeight="1" x14ac:dyDescent="0.2">
      <c r="A70" s="19"/>
      <c r="B70" s="205" t="s">
        <v>63</v>
      </c>
      <c r="C70" s="38">
        <f>E13</f>
        <v>3236.1390000000001</v>
      </c>
      <c r="D70" s="19"/>
      <c r="E70" s="802">
        <f>G13</f>
        <v>3348.01233</v>
      </c>
      <c r="F70" s="244" t="s">
        <v>755</v>
      </c>
      <c r="G70" s="215">
        <v>31.872246696035241</v>
      </c>
      <c r="H70" s="244" t="s">
        <v>755</v>
      </c>
      <c r="I70" s="216">
        <v>1</v>
      </c>
      <c r="J70" s="244" t="s">
        <v>740</v>
      </c>
      <c r="K70" s="807">
        <f t="shared" si="5"/>
        <v>53354.337461563875</v>
      </c>
      <c r="L70" s="244" t="s">
        <v>740</v>
      </c>
      <c r="M70" s="219">
        <f t="shared" si="6"/>
        <v>4.8401987858381512E-2</v>
      </c>
      <c r="N70" s="244" t="s">
        <v>740</v>
      </c>
      <c r="O70" s="812">
        <f t="shared" si="7"/>
        <v>0.17747395548073222</v>
      </c>
      <c r="P70" s="205"/>
      <c r="Q70" s="774"/>
      <c r="R70" s="205"/>
      <c r="S70" s="205"/>
      <c r="T70" s="19"/>
      <c r="U70" s="19"/>
      <c r="V70" s="19"/>
      <c r="W70" s="19"/>
      <c r="X70" s="776"/>
      <c r="Y70" s="19"/>
      <c r="Z70" s="778"/>
      <c r="AA70" s="19"/>
      <c r="AB70" s="19"/>
      <c r="AC70" s="19"/>
      <c r="AD70" s="19"/>
      <c r="AE70" s="776"/>
      <c r="AF70" s="19"/>
      <c r="AG70" s="854"/>
    </row>
    <row r="71" spans="1:33" ht="12.75" customHeight="1" x14ac:dyDescent="0.2">
      <c r="A71" s="19"/>
      <c r="B71" s="205" t="s">
        <v>92</v>
      </c>
      <c r="C71" s="19"/>
      <c r="D71" s="19"/>
      <c r="E71" s="802"/>
      <c r="F71" s="244" t="s">
        <v>755</v>
      </c>
      <c r="G71" s="875"/>
      <c r="H71" s="244" t="s">
        <v>755</v>
      </c>
      <c r="I71" s="876"/>
      <c r="J71" s="244" t="s">
        <v>740</v>
      </c>
      <c r="K71" s="807">
        <f t="shared" si="5"/>
        <v>0</v>
      </c>
      <c r="L71" s="244" t="s">
        <v>740</v>
      </c>
      <c r="M71" s="219">
        <f t="shared" si="6"/>
        <v>0</v>
      </c>
      <c r="N71" s="244" t="s">
        <v>740</v>
      </c>
      <c r="O71" s="812">
        <f t="shared" si="7"/>
        <v>0</v>
      </c>
      <c r="P71" s="205"/>
      <c r="Q71" s="774"/>
      <c r="R71" s="205"/>
      <c r="S71" s="205"/>
      <c r="T71" s="19"/>
      <c r="U71" s="19"/>
      <c r="V71" s="19"/>
      <c r="W71" s="19"/>
      <c r="X71" s="776"/>
      <c r="Y71" s="19"/>
      <c r="Z71" s="778"/>
      <c r="AA71" s="19"/>
      <c r="AB71" s="19"/>
      <c r="AC71" s="19"/>
      <c r="AD71" s="19"/>
      <c r="AE71" s="776"/>
      <c r="AF71" s="19"/>
      <c r="AG71" s="854"/>
    </row>
    <row r="72" spans="1:33" ht="13.5" customHeight="1" x14ac:dyDescent="0.2">
      <c r="A72" s="19"/>
      <c r="B72" s="205"/>
      <c r="C72" s="19"/>
      <c r="D72" s="19"/>
      <c r="E72" s="205"/>
      <c r="F72" s="205"/>
      <c r="G72" s="205"/>
      <c r="H72" s="205"/>
      <c r="I72" s="205"/>
      <c r="J72" s="205"/>
      <c r="K72" s="879"/>
      <c r="L72" s="881"/>
      <c r="M72" s="882"/>
      <c r="N72" s="884"/>
      <c r="O72" s="886"/>
      <c r="P72" s="205"/>
      <c r="Q72" s="879"/>
      <c r="R72" s="882"/>
      <c r="S72" s="882"/>
      <c r="T72" s="888"/>
      <c r="U72" s="888"/>
      <c r="V72" s="888"/>
      <c r="W72" s="888"/>
      <c r="X72" s="889"/>
      <c r="Y72" s="19"/>
      <c r="Z72" s="890"/>
      <c r="AA72" s="888"/>
      <c r="AB72" s="888"/>
      <c r="AC72" s="888"/>
      <c r="AD72" s="888"/>
      <c r="AE72" s="889"/>
      <c r="AF72" s="19"/>
      <c r="AG72" s="891"/>
    </row>
    <row r="73" spans="1:33" ht="12" customHeight="1" x14ac:dyDescent="0.2"/>
    <row r="74" spans="1:33" ht="11.25" customHeight="1" x14ac:dyDescent="0.2">
      <c r="B74" s="24"/>
      <c r="C74" s="24"/>
      <c r="D74" s="24"/>
      <c r="E74" s="24"/>
      <c r="F74" s="24"/>
      <c r="G74" s="24"/>
      <c r="H74" s="24"/>
      <c r="M74" s="24"/>
      <c r="N74" s="24"/>
      <c r="O74" s="24"/>
      <c r="P74" s="24"/>
      <c r="Q74" s="24"/>
      <c r="R74" s="24"/>
      <c r="S74" s="24"/>
    </row>
    <row r="75" spans="1:33" ht="11.25" customHeight="1" x14ac:dyDescent="0.2">
      <c r="B75" s="24"/>
      <c r="C75" s="24"/>
      <c r="D75" s="24"/>
      <c r="E75" s="24"/>
      <c r="F75" s="24"/>
      <c r="G75" s="24"/>
      <c r="H75" s="24"/>
      <c r="I75" s="99"/>
      <c r="M75" s="24"/>
      <c r="N75" s="24"/>
      <c r="O75" s="24"/>
      <c r="P75" s="24"/>
      <c r="Q75" s="24"/>
      <c r="R75" s="24"/>
      <c r="S75" s="24"/>
    </row>
    <row r="76" spans="1:33" ht="12.75" customHeight="1" x14ac:dyDescent="0.2">
      <c r="A76" s="19"/>
      <c r="B76" s="205"/>
      <c r="C76" s="205"/>
      <c r="D76" s="205"/>
      <c r="E76" s="211" t="s">
        <v>610</v>
      </c>
      <c r="F76" s="205"/>
      <c r="G76" s="205"/>
      <c r="H76" s="205"/>
      <c r="I76" s="211" t="s">
        <v>611</v>
      </c>
      <c r="J76" s="244"/>
      <c r="K76" s="205"/>
      <c r="L76" s="892"/>
      <c r="M76" s="205"/>
      <c r="N76" s="244"/>
      <c r="O76" s="24"/>
      <c r="P76" s="24"/>
      <c r="Q76" s="24"/>
      <c r="R76" s="24"/>
      <c r="S76" s="24"/>
      <c r="T76" s="19"/>
      <c r="U76" s="19"/>
      <c r="V76" s="19"/>
      <c r="W76" s="19"/>
      <c r="X76" s="19"/>
      <c r="Y76" s="19"/>
      <c r="Z76" s="19"/>
      <c r="AA76" s="19"/>
      <c r="AB76" s="19"/>
      <c r="AC76" s="19"/>
      <c r="AD76" s="19"/>
      <c r="AE76" s="19"/>
      <c r="AF76" s="19"/>
      <c r="AG76" s="19"/>
    </row>
    <row r="77" spans="1:33" ht="12.75" customHeight="1" x14ac:dyDescent="0.2">
      <c r="A77" s="19"/>
      <c r="B77" s="205"/>
      <c r="C77" s="211" t="s">
        <v>351</v>
      </c>
      <c r="D77" s="205"/>
      <c r="E77" s="211" t="s">
        <v>351</v>
      </c>
      <c r="F77" s="205"/>
      <c r="G77" s="205"/>
      <c r="H77" s="205"/>
      <c r="I77" s="211" t="s">
        <v>351</v>
      </c>
      <c r="J77" s="205"/>
      <c r="K77" s="211" t="s">
        <v>354</v>
      </c>
      <c r="L77" s="205"/>
      <c r="M77" s="211" t="s">
        <v>355</v>
      </c>
      <c r="N77" s="205"/>
      <c r="O77" s="252" t="s">
        <v>356</v>
      </c>
      <c r="P77" s="205"/>
      <c r="Q77" s="252" t="s">
        <v>356</v>
      </c>
      <c r="R77" s="205"/>
      <c r="S77" s="252" t="s">
        <v>356</v>
      </c>
      <c r="T77" s="19"/>
      <c r="U77" s="19"/>
      <c r="V77" s="19"/>
      <c r="W77" s="19"/>
      <c r="X77" s="19"/>
      <c r="Y77" s="19"/>
      <c r="Z77" s="19"/>
      <c r="AA77" s="19"/>
      <c r="AB77" s="19"/>
      <c r="AC77" s="19"/>
      <c r="AD77" s="19"/>
      <c r="AE77" s="19"/>
      <c r="AF77" s="19"/>
      <c r="AG77" s="19"/>
    </row>
    <row r="78" spans="1:33" ht="14.25" customHeight="1" x14ac:dyDescent="0.25">
      <c r="A78" s="19"/>
      <c r="B78" s="205"/>
      <c r="C78" s="211" t="s">
        <v>362</v>
      </c>
      <c r="D78" s="205"/>
      <c r="E78" s="211" t="s">
        <v>362</v>
      </c>
      <c r="F78" s="205"/>
      <c r="G78" s="211" t="s">
        <v>613</v>
      </c>
      <c r="H78" s="205"/>
      <c r="I78" s="211" t="s">
        <v>362</v>
      </c>
      <c r="J78" s="205"/>
      <c r="K78" s="211" t="s">
        <v>363</v>
      </c>
      <c r="L78" s="205"/>
      <c r="M78" s="211" t="s">
        <v>364</v>
      </c>
      <c r="N78" s="205"/>
      <c r="O78" s="211" t="s">
        <v>365</v>
      </c>
      <c r="P78" s="211"/>
      <c r="Q78" s="211" t="s">
        <v>810</v>
      </c>
      <c r="R78" s="205"/>
      <c r="S78" s="252" t="s">
        <v>890</v>
      </c>
      <c r="T78" s="19"/>
      <c r="U78" s="19"/>
      <c r="V78" s="19"/>
      <c r="W78" s="19"/>
      <c r="X78" s="19"/>
      <c r="Y78" s="19"/>
      <c r="Z78" s="19"/>
      <c r="AA78" s="19"/>
      <c r="AB78" s="19"/>
      <c r="AC78" s="19"/>
      <c r="AD78" s="19"/>
      <c r="AE78" s="19"/>
      <c r="AF78" s="19"/>
      <c r="AG78" s="19"/>
    </row>
    <row r="79" spans="1:33" ht="12.75" customHeight="1" x14ac:dyDescent="0.2">
      <c r="A79" s="19"/>
      <c r="B79" s="205" t="s">
        <v>630</v>
      </c>
      <c r="C79" s="802">
        <v>1613.2806599999999</v>
      </c>
      <c r="D79" s="244" t="s">
        <v>891</v>
      </c>
      <c r="E79" s="802">
        <v>1613.2806599999999</v>
      </c>
      <c r="F79" s="244" t="s">
        <v>755</v>
      </c>
      <c r="G79" s="900">
        <v>9.2393732597307904E-2</v>
      </c>
      <c r="H79" s="244" t="s">
        <v>892</v>
      </c>
      <c r="I79" s="214">
        <f>C79-(E79*G79)</f>
        <v>1464.2236380955515</v>
      </c>
      <c r="J79" s="244" t="s">
        <v>755</v>
      </c>
      <c r="K79" s="215">
        <v>44.581497797356818</v>
      </c>
      <c r="L79" s="244" t="s">
        <v>755</v>
      </c>
      <c r="M79" s="216">
        <v>1</v>
      </c>
      <c r="N79" s="244" t="s">
        <v>740</v>
      </c>
      <c r="O79" s="214">
        <f>I79*1000*K79*M79/2000</f>
        <v>32638.641448297309</v>
      </c>
      <c r="P79" s="244" t="s">
        <v>740</v>
      </c>
      <c r="Q79" s="219">
        <f>O79*0.90718/1000000</f>
        <v>2.9609122749066352E-2</v>
      </c>
      <c r="R79" s="244" t="s">
        <v>740</v>
      </c>
      <c r="S79" s="219">
        <f>Q79*44/12</f>
        <v>0.10856678341324329</v>
      </c>
      <c r="T79" s="19"/>
      <c r="U79" s="19"/>
      <c r="V79" s="19"/>
      <c r="W79" s="19"/>
      <c r="X79" s="19"/>
      <c r="Y79" s="19"/>
      <c r="Z79" s="19"/>
      <c r="AA79" s="19"/>
      <c r="AB79" s="19"/>
      <c r="AC79" s="19"/>
      <c r="AD79" s="19"/>
      <c r="AE79" s="19"/>
      <c r="AF79" s="19"/>
      <c r="AG79" s="19"/>
    </row>
    <row r="80" spans="1:33" ht="11.25" customHeight="1" x14ac:dyDescent="0.2"/>
    <row r="81" spans="1:33" ht="21" customHeight="1" x14ac:dyDescent="0.4">
      <c r="B81" s="909" t="s">
        <v>896</v>
      </c>
      <c r="C81" s="910"/>
      <c r="D81" s="911"/>
      <c r="E81" s="910"/>
      <c r="F81" s="910"/>
      <c r="G81" s="911">
        <v>2006</v>
      </c>
      <c r="H81" s="910"/>
      <c r="I81" s="910"/>
      <c r="J81" s="910"/>
      <c r="K81" s="910"/>
      <c r="L81" s="910"/>
      <c r="M81" s="910"/>
    </row>
    <row r="82" spans="1:33" ht="12.75" customHeight="1" x14ac:dyDescent="0.25">
      <c r="B82" s="289"/>
      <c r="C82" s="2"/>
      <c r="D82" s="289"/>
      <c r="E82" s="289"/>
      <c r="F82" s="2"/>
      <c r="G82" s="2"/>
      <c r="H82" s="2"/>
      <c r="I82" s="2"/>
      <c r="J82" s="2"/>
      <c r="K82" s="2"/>
      <c r="L82" s="2"/>
      <c r="M82" s="2"/>
    </row>
    <row r="83" spans="1:33" ht="11.25" customHeight="1" x14ac:dyDescent="0.2">
      <c r="B83" s="2"/>
      <c r="C83" s="515" t="s">
        <v>351</v>
      </c>
      <c r="D83" s="515"/>
      <c r="E83" s="515" t="s">
        <v>354</v>
      </c>
      <c r="F83" s="2"/>
      <c r="G83" s="515" t="s">
        <v>355</v>
      </c>
      <c r="H83" s="2"/>
      <c r="I83" s="297" t="s">
        <v>356</v>
      </c>
      <c r="J83" s="2"/>
      <c r="K83" s="297" t="s">
        <v>356</v>
      </c>
      <c r="L83" s="2"/>
      <c r="M83" s="297" t="s">
        <v>356</v>
      </c>
    </row>
    <row r="84" spans="1:33" ht="11.25" customHeight="1" x14ac:dyDescent="0.2">
      <c r="B84" s="804" t="s">
        <v>20</v>
      </c>
      <c r="C84" s="515" t="s">
        <v>362</v>
      </c>
      <c r="D84" s="2"/>
      <c r="E84" s="515" t="s">
        <v>363</v>
      </c>
      <c r="F84" s="2"/>
      <c r="G84" s="515" t="s">
        <v>364</v>
      </c>
      <c r="H84" s="2"/>
      <c r="I84" s="515" t="s">
        <v>365</v>
      </c>
      <c r="J84" s="515"/>
      <c r="K84" s="515" t="s">
        <v>810</v>
      </c>
      <c r="L84" s="2"/>
      <c r="M84" s="297" t="s">
        <v>900</v>
      </c>
    </row>
    <row r="85" spans="1:33" ht="11.25" customHeight="1" x14ac:dyDescent="0.2">
      <c r="B85" s="913" t="s">
        <v>848</v>
      </c>
      <c r="C85" s="915">
        <v>0</v>
      </c>
      <c r="D85" s="916" t="s">
        <v>755</v>
      </c>
      <c r="E85" s="305">
        <v>42.625219031514924</v>
      </c>
      <c r="F85" s="916" t="s">
        <v>755</v>
      </c>
      <c r="G85" s="918">
        <v>1</v>
      </c>
      <c r="H85" s="532" t="s">
        <v>740</v>
      </c>
      <c r="I85" s="920">
        <f t="shared" ref="I85:I87" si="25">C85*1000*E85*G85/2000</f>
        <v>0</v>
      </c>
      <c r="J85" s="532" t="s">
        <v>740</v>
      </c>
      <c r="K85" s="526">
        <f t="shared" ref="K85:K87" si="26">I85*0.90718/1000000</f>
        <v>0</v>
      </c>
      <c r="L85" s="921" t="s">
        <v>740</v>
      </c>
      <c r="M85" s="526">
        <f t="shared" ref="M85:M87" si="27">K85*44/12</f>
        <v>0</v>
      </c>
    </row>
    <row r="86" spans="1:33" ht="11.25" customHeight="1" x14ac:dyDescent="0.2">
      <c r="B86" s="913" t="s">
        <v>383</v>
      </c>
      <c r="C86" s="915">
        <v>3.4633750619999999</v>
      </c>
      <c r="D86" s="916" t="s">
        <v>755</v>
      </c>
      <c r="E86" s="924">
        <v>43.942731277533035</v>
      </c>
      <c r="F86" s="916" t="s">
        <v>755</v>
      </c>
      <c r="G86" s="918">
        <v>1</v>
      </c>
      <c r="H86" s="532" t="s">
        <v>740</v>
      </c>
      <c r="I86" s="920">
        <f t="shared" si="25"/>
        <v>76.095079831387665</v>
      </c>
      <c r="J86" s="532" t="s">
        <v>740</v>
      </c>
      <c r="K86" s="526">
        <f t="shared" si="26"/>
        <v>6.9031934521438258E-5</v>
      </c>
      <c r="L86" s="921" t="s">
        <v>740</v>
      </c>
      <c r="M86" s="526">
        <f t="shared" si="27"/>
        <v>2.5311709324527361E-4</v>
      </c>
    </row>
    <row r="87" spans="1:33" ht="12" customHeight="1" x14ac:dyDescent="0.2">
      <c r="B87" s="913" t="s">
        <v>392</v>
      </c>
      <c r="C87" s="915">
        <v>0.76888614600000016</v>
      </c>
      <c r="D87" s="916" t="s">
        <v>755</v>
      </c>
      <c r="E87" s="924">
        <v>47.33480176211453</v>
      </c>
      <c r="F87" s="916" t="s">
        <v>755</v>
      </c>
      <c r="G87" s="918">
        <v>1</v>
      </c>
      <c r="H87" s="532" t="s">
        <v>740</v>
      </c>
      <c r="I87" s="920">
        <f t="shared" si="25"/>
        <v>18.197536649273129</v>
      </c>
      <c r="J87" s="532" t="s">
        <v>740</v>
      </c>
      <c r="K87" s="526">
        <f t="shared" si="26"/>
        <v>1.6508441297487598E-5</v>
      </c>
      <c r="L87" s="921" t="s">
        <v>740</v>
      </c>
      <c r="M87" s="526">
        <f t="shared" si="27"/>
        <v>6.0530951424121194E-5</v>
      </c>
    </row>
    <row r="88" spans="1:33" ht="12" customHeight="1" x14ac:dyDescent="0.2">
      <c r="B88" s="804" t="s">
        <v>95</v>
      </c>
      <c r="C88" s="925"/>
      <c r="D88" s="916"/>
      <c r="E88" s="926"/>
      <c r="F88" s="916"/>
      <c r="G88" s="927"/>
      <c r="H88" s="532"/>
      <c r="I88" s="928"/>
      <c r="J88" s="532"/>
      <c r="K88" s="929">
        <f>SUM(K85:K87)</f>
        <v>8.5540375818925863E-5</v>
      </c>
      <c r="L88" s="913"/>
      <c r="M88" s="929">
        <f>SUM(M85:M87)</f>
        <v>3.1364804466939479E-4</v>
      </c>
    </row>
    <row r="89" spans="1:33" ht="12" customHeight="1" x14ac:dyDescent="0.2">
      <c r="A89" s="74"/>
      <c r="B89" s="930"/>
      <c r="C89" s="931"/>
      <c r="D89" s="932"/>
      <c r="E89" s="933"/>
      <c r="F89" s="932"/>
      <c r="G89" s="934"/>
      <c r="H89" s="935"/>
      <c r="I89" s="936"/>
      <c r="J89" s="935"/>
      <c r="K89" s="937"/>
      <c r="L89" s="938"/>
      <c r="M89" s="937"/>
      <c r="N89" s="74"/>
    </row>
    <row r="90" spans="1:33" ht="11.25" customHeight="1" x14ac:dyDescent="0.2"/>
    <row r="91" spans="1:33" ht="21" customHeight="1" x14ac:dyDescent="0.4">
      <c r="B91" s="750" t="s">
        <v>904</v>
      </c>
      <c r="C91" s="751"/>
      <c r="D91" s="753"/>
      <c r="E91" s="753"/>
      <c r="F91" s="751"/>
      <c r="G91" s="751"/>
      <c r="H91" s="751"/>
      <c r="I91" s="751"/>
      <c r="J91" s="751"/>
      <c r="K91" s="751"/>
      <c r="L91" s="19"/>
      <c r="M91" s="19"/>
      <c r="N91" s="19"/>
      <c r="O91" s="19"/>
      <c r="P91" s="19"/>
      <c r="Q91" s="19"/>
      <c r="R91" s="19"/>
      <c r="S91" s="19"/>
    </row>
    <row r="92" spans="1:33" ht="12" customHeight="1" x14ac:dyDescent="0.2"/>
    <row r="93" spans="1:33" ht="13.5" customHeight="1" x14ac:dyDescent="0.2">
      <c r="A93" s="19"/>
      <c r="B93" s="939"/>
      <c r="C93" s="940" t="s">
        <v>905</v>
      </c>
      <c r="D93" s="19"/>
      <c r="E93" s="940" t="s">
        <v>3</v>
      </c>
      <c r="F93" s="19"/>
      <c r="G93" s="940" t="s">
        <v>4</v>
      </c>
      <c r="H93" s="19"/>
      <c r="I93" s="940" t="s">
        <v>5</v>
      </c>
      <c r="J93" s="19"/>
      <c r="K93" s="940" t="s">
        <v>906</v>
      </c>
      <c r="L93" s="19"/>
      <c r="M93" s="19"/>
      <c r="N93" s="19"/>
      <c r="O93" s="19"/>
      <c r="P93" s="19"/>
      <c r="Q93" s="19"/>
      <c r="R93" s="19"/>
      <c r="S93" s="19"/>
      <c r="T93" s="19"/>
      <c r="U93" s="19"/>
      <c r="V93" s="19"/>
      <c r="W93" s="19"/>
      <c r="X93" s="19"/>
      <c r="Y93" s="19"/>
      <c r="Z93" s="19"/>
      <c r="AA93" s="19"/>
      <c r="AB93" s="19"/>
      <c r="AC93" s="19"/>
      <c r="AD93" s="19"/>
      <c r="AE93" s="19"/>
      <c r="AF93" s="19"/>
      <c r="AG93" s="19"/>
    </row>
    <row r="94" spans="1:33" ht="13.5" customHeight="1" x14ac:dyDescent="0.2">
      <c r="A94" s="19"/>
      <c r="B94" s="941" t="s">
        <v>907</v>
      </c>
      <c r="C94" s="942">
        <v>56618</v>
      </c>
      <c r="D94" s="19"/>
      <c r="E94" s="943">
        <v>29.100999999999999</v>
      </c>
      <c r="F94" s="19"/>
      <c r="G94" s="943">
        <v>4.7E-2</v>
      </c>
      <c r="H94" s="19"/>
      <c r="I94" s="943">
        <v>0.52100000000000002</v>
      </c>
      <c r="J94" s="19"/>
      <c r="K94" s="943">
        <v>29.67</v>
      </c>
      <c r="L94" s="19"/>
      <c r="M94" s="19"/>
      <c r="N94" s="19"/>
      <c r="O94" s="19"/>
      <c r="P94" s="19"/>
      <c r="Q94" s="19"/>
      <c r="R94" s="19"/>
      <c r="S94" s="19"/>
      <c r="T94" s="19"/>
      <c r="U94" s="19"/>
      <c r="V94" s="19"/>
      <c r="W94" s="19"/>
      <c r="X94" s="19"/>
      <c r="Y94" s="19"/>
      <c r="Z94" s="19"/>
      <c r="AA94" s="19"/>
      <c r="AB94" s="19"/>
      <c r="AC94" s="19"/>
      <c r="AD94" s="19"/>
      <c r="AE94" s="19"/>
      <c r="AF94" s="19"/>
      <c r="AG94" s="19"/>
    </row>
    <row r="95" spans="1:33" ht="13.5" customHeight="1" x14ac:dyDescent="0.2">
      <c r="A95" s="19"/>
      <c r="B95" s="944" t="s">
        <v>908</v>
      </c>
      <c r="C95" s="945"/>
      <c r="D95" s="19"/>
      <c r="E95" s="946"/>
      <c r="F95" s="19"/>
      <c r="G95" s="946"/>
      <c r="H95" s="19"/>
      <c r="I95" s="946"/>
      <c r="J95" s="19"/>
      <c r="K95" s="946"/>
      <c r="L95" s="19"/>
      <c r="M95" s="19"/>
      <c r="N95" s="19"/>
      <c r="O95" s="19"/>
      <c r="P95" s="19"/>
      <c r="Q95" s="19"/>
      <c r="R95" s="19"/>
      <c r="S95" s="19"/>
      <c r="T95" s="19"/>
      <c r="U95" s="19"/>
      <c r="V95" s="19"/>
      <c r="W95" s="19"/>
      <c r="X95" s="19"/>
      <c r="Y95" s="19"/>
      <c r="Z95" s="19"/>
      <c r="AA95" s="19"/>
      <c r="AB95" s="19"/>
      <c r="AC95" s="19"/>
      <c r="AD95" s="19"/>
      <c r="AE95" s="19"/>
      <c r="AF95" s="19"/>
      <c r="AG95" s="19"/>
    </row>
    <row r="96" spans="1:33" ht="13.5" customHeight="1" x14ac:dyDescent="0.2">
      <c r="A96" s="19"/>
      <c r="B96" s="947" t="s">
        <v>685</v>
      </c>
      <c r="C96" s="948">
        <v>52720</v>
      </c>
      <c r="D96" s="19"/>
      <c r="E96" s="949">
        <v>23.195</v>
      </c>
      <c r="F96" s="19"/>
      <c r="G96" s="949">
        <v>4.6199999999999998E-2</v>
      </c>
      <c r="H96" s="19"/>
      <c r="I96" s="949">
        <v>0.51829999999999998</v>
      </c>
      <c r="J96" s="19"/>
      <c r="K96" s="949">
        <v>23.76</v>
      </c>
      <c r="L96" s="19"/>
      <c r="M96" s="19"/>
      <c r="N96" s="19"/>
      <c r="O96" s="19"/>
      <c r="P96" s="19"/>
      <c r="Q96" s="19"/>
      <c r="R96" s="19"/>
      <c r="S96" s="19"/>
      <c r="T96" s="19"/>
      <c r="U96" s="19"/>
      <c r="V96" s="19"/>
      <c r="W96" s="19"/>
      <c r="X96" s="19"/>
      <c r="Y96" s="19"/>
      <c r="Z96" s="19"/>
      <c r="AA96" s="19"/>
      <c r="AB96" s="19"/>
      <c r="AC96" s="19"/>
      <c r="AD96" s="19"/>
      <c r="AE96" s="19"/>
      <c r="AF96" s="19"/>
      <c r="AG96" s="19"/>
    </row>
    <row r="97" spans="1:33" ht="13.5" customHeight="1" x14ac:dyDescent="0.2">
      <c r="A97" s="19"/>
      <c r="B97" s="947" t="s">
        <v>798</v>
      </c>
      <c r="C97" s="948">
        <v>3898</v>
      </c>
      <c r="D97" s="19"/>
      <c r="E97" s="949">
        <v>5.907</v>
      </c>
      <c r="F97" s="19"/>
      <c r="G97" s="949">
        <v>2.9999999999999997E-4</v>
      </c>
      <c r="H97" s="19"/>
      <c r="I97" s="949">
        <v>3.0000000000000001E-3</v>
      </c>
      <c r="J97" s="19"/>
      <c r="K97" s="949">
        <v>5.91</v>
      </c>
      <c r="L97" s="19"/>
      <c r="M97" s="19"/>
      <c r="N97" s="19"/>
      <c r="O97" s="19"/>
      <c r="P97" s="19"/>
      <c r="Q97" s="19"/>
      <c r="R97" s="19"/>
      <c r="S97" s="19"/>
      <c r="T97" s="19"/>
      <c r="U97" s="19"/>
      <c r="V97" s="19"/>
      <c r="W97" s="19"/>
      <c r="X97" s="19"/>
      <c r="Y97" s="19"/>
      <c r="Z97" s="19"/>
      <c r="AA97" s="19"/>
      <c r="AB97" s="19"/>
      <c r="AC97" s="19"/>
      <c r="AD97" s="19"/>
      <c r="AE97" s="19"/>
      <c r="AF97" s="19"/>
      <c r="AG97" s="19"/>
    </row>
    <row r="98" spans="1:33" ht="13.5" customHeight="1" x14ac:dyDescent="0.2">
      <c r="A98" s="19"/>
      <c r="B98" s="944" t="s">
        <v>909</v>
      </c>
      <c r="C98" s="945"/>
      <c r="D98" s="19"/>
      <c r="E98" s="946"/>
      <c r="F98" s="19"/>
      <c r="G98" s="946"/>
      <c r="H98" s="19"/>
      <c r="I98" s="946"/>
      <c r="J98" s="19"/>
      <c r="K98" s="946"/>
      <c r="L98" s="19"/>
      <c r="M98" s="19"/>
      <c r="N98" s="19"/>
      <c r="O98" s="19"/>
      <c r="P98" s="19"/>
      <c r="Q98" s="19"/>
      <c r="R98" s="19"/>
      <c r="S98" s="19"/>
      <c r="T98" s="19"/>
      <c r="U98" s="19"/>
      <c r="V98" s="19"/>
      <c r="W98" s="19"/>
      <c r="X98" s="19"/>
      <c r="Y98" s="19"/>
      <c r="Z98" s="19"/>
      <c r="AA98" s="19"/>
      <c r="AB98" s="19"/>
      <c r="AC98" s="19"/>
      <c r="AD98" s="19"/>
      <c r="AE98" s="19"/>
      <c r="AF98" s="19"/>
      <c r="AG98" s="19"/>
    </row>
    <row r="99" spans="1:33" ht="13.5" customHeight="1" x14ac:dyDescent="0.2">
      <c r="A99" s="19"/>
      <c r="B99" s="947" t="s">
        <v>910</v>
      </c>
      <c r="C99" s="950">
        <v>319</v>
      </c>
      <c r="D99" s="19"/>
      <c r="E99" s="949">
        <v>0.12</v>
      </c>
      <c r="F99" s="19"/>
      <c r="G99" s="949">
        <v>5.0000000000000001E-4</v>
      </c>
      <c r="H99" s="19"/>
      <c r="I99" s="949">
        <v>4.0000000000000002E-4</v>
      </c>
      <c r="J99" s="19"/>
      <c r="K99" s="949">
        <v>0.12</v>
      </c>
      <c r="L99" s="19"/>
      <c r="M99" s="19"/>
      <c r="N99" s="19"/>
      <c r="O99" s="19"/>
      <c r="P99" s="19"/>
      <c r="Q99" s="19"/>
      <c r="R99" s="19"/>
      <c r="S99" s="19"/>
      <c r="T99" s="19"/>
      <c r="U99" s="19"/>
      <c r="V99" s="19"/>
      <c r="W99" s="19"/>
      <c r="X99" s="19"/>
      <c r="Y99" s="19"/>
      <c r="Z99" s="19"/>
      <c r="AA99" s="19"/>
      <c r="AB99" s="19"/>
      <c r="AC99" s="19"/>
      <c r="AD99" s="19"/>
      <c r="AE99" s="19"/>
      <c r="AF99" s="19"/>
      <c r="AG99" s="19"/>
    </row>
    <row r="100" spans="1:33" ht="13.5" customHeight="1" x14ac:dyDescent="0.2">
      <c r="A100" s="19"/>
      <c r="B100" s="947" t="s">
        <v>911</v>
      </c>
      <c r="C100" s="948">
        <v>29337</v>
      </c>
      <c r="D100" s="19"/>
      <c r="E100" s="949">
        <v>10.959</v>
      </c>
      <c r="F100" s="19"/>
      <c r="G100" s="949">
        <v>1.78E-2</v>
      </c>
      <c r="H100" s="19"/>
      <c r="I100" s="949">
        <v>0.17219999999999999</v>
      </c>
      <c r="J100" s="19"/>
      <c r="K100" s="949">
        <v>11.15</v>
      </c>
      <c r="L100" s="19"/>
      <c r="M100" s="19"/>
      <c r="N100" s="19"/>
      <c r="O100" s="19"/>
      <c r="P100" s="19"/>
      <c r="Q100" s="19"/>
      <c r="R100" s="19"/>
      <c r="S100" s="19"/>
      <c r="T100" s="19"/>
      <c r="U100" s="19"/>
      <c r="V100" s="19"/>
      <c r="W100" s="19"/>
      <c r="X100" s="19"/>
      <c r="Y100" s="19"/>
      <c r="Z100" s="19"/>
      <c r="AA100" s="19"/>
      <c r="AB100" s="19"/>
      <c r="AC100" s="19"/>
      <c r="AD100" s="19"/>
      <c r="AE100" s="19"/>
      <c r="AF100" s="19"/>
      <c r="AG100" s="19"/>
    </row>
    <row r="101" spans="1:33" ht="13.5" customHeight="1" x14ac:dyDescent="0.2">
      <c r="A101" s="19"/>
      <c r="B101" s="947" t="s">
        <v>912</v>
      </c>
      <c r="C101" s="948">
        <v>18070</v>
      </c>
      <c r="D101" s="19"/>
      <c r="E101" s="949">
        <v>9.4600000000000009</v>
      </c>
      <c r="F101" s="19"/>
      <c r="G101" s="949">
        <v>2.0199999999999999E-2</v>
      </c>
      <c r="H101" s="19"/>
      <c r="I101" s="949">
        <v>0.2571</v>
      </c>
      <c r="J101" s="19"/>
      <c r="K101" s="949">
        <v>9.74</v>
      </c>
      <c r="L101" s="19"/>
      <c r="M101" s="19"/>
      <c r="N101" s="19"/>
      <c r="O101" s="19"/>
      <c r="P101" s="19"/>
      <c r="Q101" s="19"/>
      <c r="R101" s="19"/>
      <c r="S101" s="19"/>
      <c r="T101" s="19"/>
      <c r="U101" s="19"/>
      <c r="V101" s="19"/>
      <c r="W101" s="19"/>
      <c r="X101" s="19"/>
      <c r="Y101" s="19"/>
      <c r="Z101" s="19"/>
      <c r="AA101" s="19"/>
      <c r="AB101" s="19"/>
      <c r="AC101" s="19"/>
      <c r="AD101" s="19"/>
      <c r="AE101" s="19"/>
      <c r="AF101" s="19"/>
      <c r="AG101" s="19"/>
    </row>
    <row r="102" spans="1:33" ht="13.5" customHeight="1" x14ac:dyDescent="0.2">
      <c r="A102" s="19"/>
      <c r="B102" s="947" t="s">
        <v>913</v>
      </c>
      <c r="C102" s="948">
        <v>5833</v>
      </c>
      <c r="D102" s="19"/>
      <c r="E102" s="949">
        <v>3.117</v>
      </c>
      <c r="F102" s="19"/>
      <c r="G102" s="949">
        <v>6.7000000000000002E-3</v>
      </c>
      <c r="H102" s="19"/>
      <c r="I102" s="949">
        <v>8.3299999999999999E-2</v>
      </c>
      <c r="J102" s="19"/>
      <c r="K102" s="949">
        <v>3.21</v>
      </c>
      <c r="L102" s="19"/>
      <c r="M102" s="19"/>
      <c r="N102" s="19"/>
      <c r="O102" s="19"/>
      <c r="P102" s="19"/>
      <c r="Q102" s="19"/>
      <c r="R102" s="19"/>
      <c r="S102" s="19"/>
      <c r="T102" s="19"/>
      <c r="U102" s="19"/>
      <c r="V102" s="19"/>
      <c r="W102" s="19"/>
      <c r="X102" s="19"/>
      <c r="Y102" s="19"/>
      <c r="Z102" s="19"/>
      <c r="AA102" s="19"/>
      <c r="AB102" s="19"/>
      <c r="AC102" s="19"/>
      <c r="AD102" s="19"/>
      <c r="AE102" s="19"/>
      <c r="AF102" s="19"/>
      <c r="AG102" s="19"/>
    </row>
    <row r="103" spans="1:33" ht="13.5" customHeight="1" x14ac:dyDescent="0.2">
      <c r="A103" s="19"/>
      <c r="B103" s="947" t="s">
        <v>914</v>
      </c>
      <c r="C103" s="950">
        <v>15</v>
      </c>
      <c r="D103" s="19"/>
      <c r="E103" s="949">
        <v>2.7E-2</v>
      </c>
      <c r="F103" s="19"/>
      <c r="G103" s="949">
        <v>0</v>
      </c>
      <c r="H103" s="19"/>
      <c r="I103" s="949">
        <v>0</v>
      </c>
      <c r="J103" s="19"/>
      <c r="K103" s="949">
        <v>0.03</v>
      </c>
      <c r="L103" s="19"/>
      <c r="M103" s="19"/>
      <c r="N103" s="19"/>
      <c r="O103" s="19"/>
      <c r="P103" s="19"/>
      <c r="Q103" s="19"/>
      <c r="R103" s="19"/>
      <c r="S103" s="19"/>
      <c r="T103" s="19"/>
      <c r="U103" s="19"/>
      <c r="V103" s="19"/>
      <c r="W103" s="19"/>
      <c r="X103" s="19"/>
      <c r="Y103" s="19"/>
      <c r="Z103" s="19"/>
      <c r="AA103" s="19"/>
      <c r="AB103" s="19"/>
      <c r="AC103" s="19"/>
      <c r="AD103" s="19"/>
      <c r="AE103" s="19"/>
      <c r="AF103" s="19"/>
      <c r="AG103" s="19"/>
    </row>
    <row r="104" spans="1:33" ht="13.5" customHeight="1" x14ac:dyDescent="0.2">
      <c r="A104" s="19"/>
      <c r="B104" s="947" t="s">
        <v>915</v>
      </c>
      <c r="C104" s="950">
        <v>40</v>
      </c>
      <c r="D104" s="19"/>
      <c r="E104" s="949">
        <v>5.1999999999999998E-2</v>
      </c>
      <c r="F104" s="19"/>
      <c r="G104" s="949">
        <v>0</v>
      </c>
      <c r="H104" s="19"/>
      <c r="I104" s="949">
        <v>0</v>
      </c>
      <c r="J104" s="19"/>
      <c r="K104" s="949">
        <v>0.05</v>
      </c>
      <c r="L104" s="19"/>
      <c r="M104" s="19"/>
      <c r="N104" s="19"/>
      <c r="O104" s="19"/>
      <c r="P104" s="19"/>
      <c r="Q104" s="19"/>
      <c r="R104" s="19"/>
      <c r="S104" s="19"/>
      <c r="T104" s="19"/>
      <c r="U104" s="19"/>
      <c r="V104" s="19"/>
      <c r="W104" s="19"/>
      <c r="X104" s="19"/>
      <c r="Y104" s="19"/>
      <c r="Z104" s="19"/>
      <c r="AA104" s="19"/>
      <c r="AB104" s="19"/>
      <c r="AC104" s="19"/>
      <c r="AD104" s="19"/>
      <c r="AE104" s="19"/>
      <c r="AF104" s="19"/>
      <c r="AG104" s="19"/>
    </row>
    <row r="105" spans="1:33" ht="13.5" customHeight="1" x14ac:dyDescent="0.2">
      <c r="A105" s="19"/>
      <c r="B105" s="947" t="s">
        <v>916</v>
      </c>
      <c r="C105" s="950">
        <v>129</v>
      </c>
      <c r="D105" s="19"/>
      <c r="E105" s="949">
        <v>0.124</v>
      </c>
      <c r="F105" s="19"/>
      <c r="G105" s="949">
        <v>2.0000000000000001E-4</v>
      </c>
      <c r="H105" s="19"/>
      <c r="I105" s="949">
        <v>8.0000000000000004E-4</v>
      </c>
      <c r="J105" s="19"/>
      <c r="K105" s="949">
        <v>0.13</v>
      </c>
      <c r="L105" s="19"/>
      <c r="M105" s="19"/>
      <c r="N105" s="19"/>
      <c r="O105" s="19"/>
      <c r="P105" s="19"/>
      <c r="Q105" s="19"/>
      <c r="R105" s="19"/>
      <c r="S105" s="19"/>
      <c r="T105" s="19"/>
      <c r="U105" s="19"/>
      <c r="V105" s="19"/>
      <c r="W105" s="19"/>
      <c r="X105" s="19"/>
      <c r="Y105" s="19"/>
      <c r="Z105" s="19"/>
      <c r="AA105" s="19"/>
      <c r="AB105" s="19"/>
      <c r="AC105" s="19"/>
      <c r="AD105" s="19"/>
      <c r="AE105" s="19"/>
      <c r="AF105" s="19"/>
      <c r="AG105" s="19"/>
    </row>
    <row r="106" spans="1:33" ht="13.5" customHeight="1" x14ac:dyDescent="0.2">
      <c r="A106" s="19"/>
      <c r="B106" s="947" t="s">
        <v>917</v>
      </c>
      <c r="C106" s="950">
        <v>33</v>
      </c>
      <c r="D106" s="19"/>
      <c r="E106" s="949">
        <v>5.6000000000000001E-2</v>
      </c>
      <c r="F106" s="19"/>
      <c r="G106" s="949">
        <v>0</v>
      </c>
      <c r="H106" s="19"/>
      <c r="I106" s="949">
        <v>0</v>
      </c>
      <c r="J106" s="19"/>
      <c r="K106" s="949">
        <v>0.06</v>
      </c>
      <c r="L106" s="19"/>
      <c r="M106" s="19"/>
      <c r="N106" s="19"/>
      <c r="O106" s="19"/>
      <c r="P106" s="19"/>
      <c r="Q106" s="19"/>
      <c r="R106" s="19"/>
      <c r="S106" s="19"/>
      <c r="T106" s="19"/>
      <c r="U106" s="19"/>
      <c r="V106" s="19"/>
      <c r="W106" s="19"/>
      <c r="X106" s="19"/>
      <c r="Y106" s="19"/>
      <c r="Z106" s="19"/>
      <c r="AA106" s="19"/>
      <c r="AB106" s="19"/>
      <c r="AC106" s="19"/>
      <c r="AD106" s="19"/>
      <c r="AE106" s="19"/>
      <c r="AF106" s="19"/>
      <c r="AG106" s="19"/>
    </row>
    <row r="107" spans="1:33" ht="13.5" customHeight="1" x14ac:dyDescent="0.2">
      <c r="A107" s="19"/>
      <c r="B107" s="947" t="s">
        <v>918</v>
      </c>
      <c r="C107" s="950">
        <v>655</v>
      </c>
      <c r="D107" s="19"/>
      <c r="E107" s="949">
        <v>0.65600000000000003</v>
      </c>
      <c r="F107" s="19"/>
      <c r="G107" s="949">
        <v>8.0000000000000004E-4</v>
      </c>
      <c r="H107" s="19"/>
      <c r="I107" s="949">
        <v>5.4000000000000003E-3</v>
      </c>
      <c r="J107" s="19"/>
      <c r="K107" s="949">
        <v>0.66</v>
      </c>
      <c r="L107" s="19"/>
      <c r="M107" s="19"/>
      <c r="N107" s="19"/>
      <c r="O107" s="19"/>
      <c r="P107" s="19"/>
      <c r="Q107" s="19"/>
      <c r="R107" s="19"/>
      <c r="S107" s="19"/>
      <c r="T107" s="19"/>
      <c r="U107" s="19"/>
      <c r="V107" s="19"/>
      <c r="W107" s="19"/>
      <c r="X107" s="19"/>
      <c r="Y107" s="19"/>
      <c r="Z107" s="19"/>
      <c r="AA107" s="19"/>
      <c r="AB107" s="19"/>
      <c r="AC107" s="19"/>
      <c r="AD107" s="19"/>
      <c r="AE107" s="19"/>
      <c r="AF107" s="19"/>
      <c r="AG107" s="19"/>
    </row>
    <row r="108" spans="1:33" ht="13.5" customHeight="1" x14ac:dyDescent="0.2">
      <c r="A108" s="19"/>
      <c r="B108" s="947" t="s">
        <v>919</v>
      </c>
      <c r="C108" s="950">
        <v>49</v>
      </c>
      <c r="D108" s="19"/>
      <c r="E108" s="949">
        <v>4.7E-2</v>
      </c>
      <c r="F108" s="19"/>
      <c r="G108" s="949">
        <v>0</v>
      </c>
      <c r="H108" s="19"/>
      <c r="I108" s="949">
        <v>2.9999999999999997E-4</v>
      </c>
      <c r="J108" s="19"/>
      <c r="K108" s="949">
        <v>0.05</v>
      </c>
      <c r="L108" s="19"/>
      <c r="M108" s="19"/>
      <c r="N108" s="19"/>
      <c r="O108" s="19"/>
      <c r="P108" s="19"/>
      <c r="Q108" s="19"/>
      <c r="R108" s="19"/>
      <c r="S108" s="19"/>
      <c r="T108" s="19"/>
      <c r="U108" s="19"/>
      <c r="V108" s="19"/>
      <c r="W108" s="19"/>
      <c r="X108" s="19"/>
      <c r="Y108" s="19"/>
      <c r="Z108" s="19"/>
      <c r="AA108" s="19"/>
      <c r="AB108" s="19"/>
      <c r="AC108" s="19"/>
      <c r="AD108" s="19"/>
      <c r="AE108" s="19"/>
      <c r="AF108" s="19"/>
      <c r="AG108" s="19"/>
    </row>
    <row r="109" spans="1:33" ht="13.5" customHeight="1" x14ac:dyDescent="0.2">
      <c r="A109" s="19"/>
      <c r="B109" s="947" t="s">
        <v>920</v>
      </c>
      <c r="C109" s="950">
        <v>20</v>
      </c>
      <c r="D109" s="19"/>
      <c r="E109" s="949">
        <v>2.1000000000000001E-2</v>
      </c>
      <c r="F109" s="19"/>
      <c r="G109" s="949">
        <v>0</v>
      </c>
      <c r="H109" s="19"/>
      <c r="I109" s="949">
        <v>2.0000000000000001E-4</v>
      </c>
      <c r="J109" s="19"/>
      <c r="K109" s="949">
        <v>0.02</v>
      </c>
      <c r="L109" s="19"/>
      <c r="M109" s="19"/>
      <c r="N109" s="19"/>
      <c r="O109" s="19"/>
      <c r="P109" s="19"/>
      <c r="Q109" s="19"/>
      <c r="R109" s="19"/>
      <c r="S109" s="19"/>
      <c r="T109" s="19"/>
      <c r="U109" s="19"/>
      <c r="V109" s="19"/>
      <c r="W109" s="19"/>
      <c r="X109" s="19"/>
      <c r="Y109" s="19"/>
      <c r="Z109" s="19"/>
      <c r="AA109" s="19"/>
      <c r="AB109" s="19"/>
      <c r="AC109" s="19"/>
      <c r="AD109" s="19"/>
      <c r="AE109" s="19"/>
      <c r="AF109" s="19"/>
      <c r="AG109" s="19"/>
    </row>
    <row r="110" spans="1:33" ht="13.5" customHeight="1" x14ac:dyDescent="0.2">
      <c r="A110" s="19"/>
      <c r="B110" s="947" t="s">
        <v>921</v>
      </c>
      <c r="C110" s="948">
        <v>1163</v>
      </c>
      <c r="D110" s="19"/>
      <c r="E110" s="949">
        <v>2.339</v>
      </c>
      <c r="F110" s="19"/>
      <c r="G110" s="949">
        <v>1E-4</v>
      </c>
      <c r="H110" s="19"/>
      <c r="I110" s="949">
        <v>8.0000000000000004E-4</v>
      </c>
      <c r="J110" s="19"/>
      <c r="K110" s="949">
        <v>2.34</v>
      </c>
      <c r="L110" s="19"/>
      <c r="M110" s="19"/>
      <c r="N110" s="19"/>
      <c r="O110" s="19"/>
      <c r="P110" s="19"/>
      <c r="Q110" s="19"/>
      <c r="R110" s="19"/>
      <c r="S110" s="19"/>
      <c r="T110" s="19"/>
      <c r="U110" s="19"/>
      <c r="V110" s="19"/>
      <c r="W110" s="19"/>
      <c r="X110" s="19"/>
      <c r="Y110" s="19"/>
      <c r="Z110" s="19"/>
      <c r="AA110" s="19"/>
      <c r="AB110" s="19"/>
      <c r="AC110" s="19"/>
      <c r="AD110" s="19"/>
      <c r="AE110" s="19"/>
      <c r="AF110" s="19"/>
      <c r="AG110" s="19"/>
    </row>
    <row r="111" spans="1:33" ht="13.5" customHeight="1" x14ac:dyDescent="0.2">
      <c r="A111" s="19"/>
      <c r="B111" s="947" t="s">
        <v>922</v>
      </c>
      <c r="C111" s="950">
        <v>953</v>
      </c>
      <c r="D111" s="19"/>
      <c r="E111" s="951">
        <v>2.1230000000000002</v>
      </c>
      <c r="F111" s="19"/>
      <c r="G111" s="951">
        <v>1E-4</v>
      </c>
      <c r="H111" s="19"/>
      <c r="I111" s="951">
        <v>5.9999999999999995E-4</v>
      </c>
      <c r="J111" s="19"/>
      <c r="K111" s="951">
        <v>2.12</v>
      </c>
      <c r="L111" s="19"/>
      <c r="M111" s="19"/>
      <c r="N111" s="19"/>
      <c r="O111" s="19"/>
      <c r="P111" s="19"/>
      <c r="Q111" s="19"/>
      <c r="R111" s="19"/>
      <c r="S111" s="19"/>
      <c r="T111" s="19"/>
      <c r="U111" s="19"/>
      <c r="V111" s="19"/>
      <c r="W111" s="19"/>
      <c r="X111" s="19"/>
      <c r="Y111" s="19"/>
      <c r="Z111" s="19"/>
      <c r="AA111" s="19"/>
      <c r="AB111" s="19"/>
      <c r="AC111" s="19"/>
      <c r="AD111" s="19"/>
      <c r="AE111" s="19"/>
      <c r="AF111" s="19"/>
      <c r="AG111" s="19"/>
    </row>
    <row r="112" spans="1:33" ht="12.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row>
    <row r="113" spans="1:33" ht="13.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row>
    <row r="114" spans="1:33" ht="17.25" customHeight="1" x14ac:dyDescent="0.2">
      <c r="A114" s="952"/>
      <c r="B114" s="1807" t="s">
        <v>923</v>
      </c>
      <c r="C114" s="1807" t="s">
        <v>20</v>
      </c>
      <c r="D114" s="952"/>
      <c r="E114" s="1821" t="s">
        <v>924</v>
      </c>
      <c r="F114" s="1777"/>
      <c r="G114" s="1812"/>
      <c r="H114" s="952"/>
      <c r="I114" s="1807" t="s">
        <v>925</v>
      </c>
      <c r="J114" s="952"/>
      <c r="K114" s="952"/>
      <c r="L114" s="952"/>
      <c r="M114" s="952"/>
      <c r="N114" s="952"/>
      <c r="O114" s="952"/>
      <c r="P114" s="952"/>
      <c r="Q114" s="952"/>
      <c r="R114" s="952"/>
      <c r="S114" s="952"/>
      <c r="T114" s="952"/>
      <c r="U114" s="952"/>
      <c r="V114" s="952"/>
      <c r="W114" s="952"/>
      <c r="X114" s="952"/>
      <c r="Y114" s="952"/>
      <c r="Z114" s="952"/>
      <c r="AA114" s="952"/>
      <c r="AB114" s="952"/>
      <c r="AC114" s="952"/>
      <c r="AD114" s="952"/>
      <c r="AE114" s="952"/>
      <c r="AF114" s="952"/>
      <c r="AG114" s="952"/>
    </row>
    <row r="115" spans="1:33" ht="41.25" customHeight="1" x14ac:dyDescent="0.2">
      <c r="A115" s="19"/>
      <c r="B115" s="1808"/>
      <c r="C115" s="1808"/>
      <c r="D115" s="19"/>
      <c r="E115" s="953" t="s">
        <v>926</v>
      </c>
      <c r="F115" s="19"/>
      <c r="G115" s="953" t="s">
        <v>927</v>
      </c>
      <c r="H115" s="19"/>
      <c r="I115" s="1808"/>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row>
    <row r="116" spans="1:33" ht="13.5" customHeight="1" x14ac:dyDescent="0.2">
      <c r="A116" s="19"/>
      <c r="B116" s="1809">
        <v>2006</v>
      </c>
      <c r="C116" s="954" t="s">
        <v>685</v>
      </c>
      <c r="D116" s="19"/>
      <c r="E116" s="955">
        <v>305.89999999999998</v>
      </c>
      <c r="F116" s="19"/>
      <c r="G116" s="956">
        <v>2462240</v>
      </c>
      <c r="H116" s="19"/>
      <c r="I116" s="957">
        <v>2642371</v>
      </c>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row>
    <row r="117" spans="1:33" ht="13.5" customHeight="1" x14ac:dyDescent="0.2">
      <c r="A117" s="19"/>
      <c r="B117" s="1808"/>
      <c r="C117" s="954" t="s">
        <v>798</v>
      </c>
      <c r="D117" s="19"/>
      <c r="E117" s="955">
        <v>76.3</v>
      </c>
      <c r="F117" s="19"/>
      <c r="G117" s="956">
        <v>550454</v>
      </c>
      <c r="H117" s="19"/>
      <c r="I117" s="958">
        <v>558703</v>
      </c>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row>
    <row r="118" spans="1:33" ht="13.5" customHeight="1" x14ac:dyDescent="0.2">
      <c r="A118" s="19"/>
      <c r="B118" s="1809" t="s">
        <v>928</v>
      </c>
      <c r="C118" s="954" t="s">
        <v>685</v>
      </c>
      <c r="D118" s="19"/>
      <c r="E118" s="955">
        <v>402.3</v>
      </c>
      <c r="F118" s="19"/>
      <c r="G118" s="956">
        <v>3237943</v>
      </c>
      <c r="H118" s="19"/>
      <c r="I118" s="955" t="s">
        <v>929</v>
      </c>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row>
    <row r="119" spans="1:33" ht="13.5" customHeight="1" x14ac:dyDescent="0.2">
      <c r="A119" s="19"/>
      <c r="B119" s="1808"/>
      <c r="C119" s="954" t="s">
        <v>798</v>
      </c>
      <c r="D119" s="19"/>
      <c r="E119" s="955">
        <v>101.6</v>
      </c>
      <c r="F119" s="19"/>
      <c r="G119" s="956">
        <v>732275</v>
      </c>
      <c r="H119" s="19"/>
      <c r="I119" s="955" t="s">
        <v>929</v>
      </c>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row>
    <row r="120" spans="1:33" ht="11.25" customHeight="1" x14ac:dyDescent="0.2"/>
    <row r="121" spans="1:33" ht="11.25" customHeight="1" x14ac:dyDescent="0.2"/>
    <row r="122" spans="1:33" ht="11.25" customHeight="1" x14ac:dyDescent="0.2"/>
    <row r="123" spans="1:33" ht="11.25" customHeight="1" x14ac:dyDescent="0.2"/>
    <row r="124" spans="1:33" ht="11.25" customHeight="1" x14ac:dyDescent="0.2"/>
    <row r="125" spans="1:33" ht="11.25" customHeight="1" x14ac:dyDescent="0.2"/>
    <row r="126" spans="1:33" ht="11.25" customHeight="1" x14ac:dyDescent="0.2"/>
    <row r="127" spans="1:33" ht="11.25" customHeight="1" x14ac:dyDescent="0.2"/>
    <row r="128" spans="1:33"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3">
    <mergeCell ref="I114:I115"/>
    <mergeCell ref="B116:B117"/>
    <mergeCell ref="B118:B119"/>
    <mergeCell ref="D39:E39"/>
    <mergeCell ref="D42:E42"/>
    <mergeCell ref="F42:H42"/>
    <mergeCell ref="D43:E43"/>
    <mergeCell ref="F43:H43"/>
    <mergeCell ref="D44:E44"/>
    <mergeCell ref="F45:H45"/>
    <mergeCell ref="D45:E45"/>
    <mergeCell ref="D49:E49"/>
    <mergeCell ref="B114:B115"/>
    <mergeCell ref="C114:C115"/>
    <mergeCell ref="E114:G114"/>
    <mergeCell ref="D37:E37"/>
    <mergeCell ref="F37:G37"/>
    <mergeCell ref="D38:E38"/>
    <mergeCell ref="F38:G38"/>
    <mergeCell ref="F39:G39"/>
    <mergeCell ref="D34:E34"/>
    <mergeCell ref="F34:G34"/>
    <mergeCell ref="D35:E35"/>
    <mergeCell ref="F35:G35"/>
    <mergeCell ref="D36:E36"/>
    <mergeCell ref="F36:G36"/>
    <mergeCell ref="D31:E31"/>
    <mergeCell ref="F31:G31"/>
    <mergeCell ref="F32:G32"/>
    <mergeCell ref="D32:E32"/>
    <mergeCell ref="D33:E33"/>
    <mergeCell ref="F33:G33"/>
    <mergeCell ref="D20:E20"/>
    <mergeCell ref="F20:G20"/>
    <mergeCell ref="F25:G25"/>
    <mergeCell ref="F26:G26"/>
    <mergeCell ref="S31:T31"/>
    <mergeCell ref="D21:E21"/>
    <mergeCell ref="F21:G21"/>
    <mergeCell ref="D22:E22"/>
    <mergeCell ref="F22:G22"/>
    <mergeCell ref="D23:E23"/>
    <mergeCell ref="F23:G23"/>
    <mergeCell ref="F24:G24"/>
    <mergeCell ref="D24:E24"/>
    <mergeCell ref="D25:E25"/>
    <mergeCell ref="D26:E26"/>
    <mergeCell ref="B29:F29"/>
    <mergeCell ref="A2:K2"/>
    <mergeCell ref="D18:E18"/>
    <mergeCell ref="F18:G18"/>
    <mergeCell ref="D19:E19"/>
    <mergeCell ref="F19:G19"/>
  </mergeCells>
  <pageMargins left="0.7" right="0.7" top="0.75" bottom="0.75" header="0" footer="0"/>
  <pageSetup orientation="landscape"/>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000"/>
  <sheetViews>
    <sheetView workbookViewId="0"/>
  </sheetViews>
  <sheetFormatPr defaultColWidth="16.83203125" defaultRowHeight="15" customHeight="1" x14ac:dyDescent="0.2"/>
  <cols>
    <col min="1" max="1" width="3.6640625" customWidth="1"/>
    <col min="2" max="2" width="30.33203125" customWidth="1"/>
    <col min="3" max="3" width="17.1640625" customWidth="1"/>
    <col min="4" max="4" width="21.6640625" customWidth="1"/>
    <col min="5" max="5" width="18.1640625" customWidth="1"/>
    <col min="6" max="6" width="17.83203125" customWidth="1"/>
    <col min="7" max="7" width="18.83203125" customWidth="1"/>
    <col min="8" max="9" width="18" customWidth="1"/>
    <col min="11" max="11" width="20.1640625" customWidth="1"/>
    <col min="12" max="12" width="8" customWidth="1"/>
  </cols>
  <sheetData>
    <row r="1" spans="1:12" ht="33" customHeight="1" x14ac:dyDescent="0.45">
      <c r="A1" s="11" t="s">
        <v>659</v>
      </c>
      <c r="B1" s="13"/>
      <c r="E1" s="16"/>
      <c r="G1" s="24"/>
      <c r="H1" s="24"/>
    </row>
    <row r="2" spans="1:12" ht="171.75" customHeight="1" x14ac:dyDescent="0.4">
      <c r="A2" s="11"/>
    </row>
    <row r="3" spans="1:12" ht="14.25" customHeight="1" x14ac:dyDescent="0.3">
      <c r="B3" s="566"/>
      <c r="C3" s="288"/>
      <c r="D3" s="288"/>
      <c r="E3" s="568"/>
      <c r="F3" s="288"/>
      <c r="G3" s="568"/>
      <c r="H3" s="570"/>
      <c r="I3" s="572"/>
      <c r="J3" s="573"/>
      <c r="K3" s="288"/>
    </row>
    <row r="4" spans="1:12" ht="21" customHeight="1" x14ac:dyDescent="0.4">
      <c r="B4" s="575" t="s">
        <v>665</v>
      </c>
      <c r="C4" s="576"/>
      <c r="D4" s="575">
        <v>2006</v>
      </c>
      <c r="E4" s="578"/>
      <c r="F4" s="576"/>
      <c r="G4" s="568"/>
      <c r="H4" s="288"/>
      <c r="I4" s="288"/>
      <c r="J4" s="288"/>
      <c r="K4" s="288"/>
      <c r="L4" s="24"/>
    </row>
    <row r="5" spans="1:12" ht="13.5" customHeight="1" x14ac:dyDescent="0.25">
      <c r="B5" s="288"/>
      <c r="C5" s="288"/>
      <c r="D5" s="288"/>
      <c r="E5" s="568"/>
      <c r="F5" s="288"/>
      <c r="G5" s="568"/>
      <c r="H5" s="288"/>
      <c r="I5" s="288"/>
      <c r="J5" s="288"/>
      <c r="K5" s="288"/>
    </row>
    <row r="6" spans="1:12" ht="15" customHeight="1" x14ac:dyDescent="0.3">
      <c r="B6" s="580"/>
      <c r="C6" s="581" t="s">
        <v>668</v>
      </c>
      <c r="D6" s="581" t="s">
        <v>354</v>
      </c>
      <c r="E6" s="581" t="s">
        <v>671</v>
      </c>
      <c r="F6" s="583" t="s">
        <v>672</v>
      </c>
      <c r="G6" s="568"/>
      <c r="I6" s="568"/>
      <c r="K6" s="288"/>
    </row>
    <row r="7" spans="1:12" ht="25.5" customHeight="1" x14ac:dyDescent="0.25">
      <c r="B7" s="584"/>
      <c r="C7" s="288"/>
      <c r="D7" s="585" t="s">
        <v>673</v>
      </c>
      <c r="E7" s="288"/>
      <c r="F7" s="586"/>
      <c r="G7" s="568"/>
      <c r="I7" s="568"/>
      <c r="K7" s="288"/>
    </row>
    <row r="8" spans="1:12" ht="12.75" customHeight="1" x14ac:dyDescent="0.25">
      <c r="B8" s="588" t="s">
        <v>674</v>
      </c>
      <c r="C8" s="590">
        <v>7</v>
      </c>
      <c r="D8" s="591">
        <v>4.1021717966689701</v>
      </c>
      <c r="E8" s="590">
        <f>C8*D8</f>
        <v>28.715202576682792</v>
      </c>
      <c r="F8" s="596">
        <f t="shared" ref="F8:F9" si="0">E8*$I$25/1000000</f>
        <v>8.011541518894498E-4</v>
      </c>
      <c r="G8" s="568"/>
      <c r="I8" s="572"/>
      <c r="K8" s="288"/>
    </row>
    <row r="9" spans="1:12" ht="25.5" customHeight="1" x14ac:dyDescent="0.25">
      <c r="B9" s="588" t="s">
        <v>677</v>
      </c>
      <c r="C9" s="590">
        <v>0</v>
      </c>
      <c r="D9" s="591">
        <v>13.055796863999998</v>
      </c>
      <c r="E9" s="590">
        <v>0</v>
      </c>
      <c r="F9" s="596">
        <f t="shared" si="0"/>
        <v>0</v>
      </c>
      <c r="G9" s="568"/>
      <c r="I9" s="572"/>
      <c r="K9" s="288"/>
    </row>
    <row r="10" spans="1:12" ht="14.25" customHeight="1" x14ac:dyDescent="0.3">
      <c r="B10" s="597" t="s">
        <v>679</v>
      </c>
      <c r="C10" s="598"/>
      <c r="D10" s="599"/>
      <c r="E10" s="600">
        <v>21.095017507998922</v>
      </c>
      <c r="F10" s="601">
        <f>F8+F9</f>
        <v>8.011541518894498E-4</v>
      </c>
      <c r="G10" s="568"/>
      <c r="I10" s="572"/>
      <c r="K10" s="288"/>
    </row>
    <row r="11" spans="1:12" ht="12" customHeight="1" x14ac:dyDescent="0.2">
      <c r="B11" s="154"/>
      <c r="C11" s="155"/>
      <c r="D11" s="155"/>
      <c r="E11" s="155"/>
      <c r="F11" s="156"/>
    </row>
    <row r="12" spans="1:12" ht="12" customHeight="1" x14ac:dyDescent="0.2">
      <c r="B12" s="24"/>
      <c r="C12" s="24"/>
      <c r="D12" s="24"/>
      <c r="E12" s="24"/>
      <c r="F12" s="24"/>
    </row>
    <row r="13" spans="1:12" ht="11.25" customHeight="1" x14ac:dyDescent="0.2">
      <c r="B13" s="24" t="s">
        <v>682</v>
      </c>
      <c r="C13" s="24"/>
      <c r="D13" s="24"/>
      <c r="E13" s="24"/>
      <c r="F13" s="24"/>
    </row>
    <row r="14" spans="1:12" ht="11.25" customHeight="1" x14ac:dyDescent="0.2">
      <c r="B14" s="24"/>
      <c r="C14" s="24"/>
      <c r="D14" s="24"/>
      <c r="E14" s="24"/>
      <c r="F14" s="24"/>
    </row>
    <row r="15" spans="1:12" ht="11.25" customHeight="1" x14ac:dyDescent="0.2">
      <c r="B15" s="1822" t="s">
        <v>683</v>
      </c>
      <c r="C15" s="1766"/>
      <c r="D15" s="1766"/>
      <c r="E15" s="1766"/>
      <c r="F15" s="1766"/>
      <c r="G15" s="1766"/>
      <c r="H15" s="1766"/>
      <c r="I15" s="1766"/>
    </row>
    <row r="16" spans="1:12" ht="11.25" customHeight="1" x14ac:dyDescent="0.2">
      <c r="B16" s="24"/>
      <c r="C16" s="24"/>
      <c r="D16" s="24"/>
      <c r="E16" s="24"/>
      <c r="F16" s="24"/>
    </row>
    <row r="17" spans="2:9" ht="11.25" customHeight="1" x14ac:dyDescent="0.2">
      <c r="B17" s="24"/>
      <c r="C17" s="24"/>
      <c r="D17" s="24"/>
      <c r="E17" s="24"/>
      <c r="F17" s="24"/>
    </row>
    <row r="18" spans="2:9" ht="11.25" customHeight="1" x14ac:dyDescent="0.2"/>
    <row r="19" spans="2:9" ht="11.25" customHeight="1" x14ac:dyDescent="0.2"/>
    <row r="20" spans="2:9" ht="21" customHeight="1" x14ac:dyDescent="0.4">
      <c r="B20" s="605" t="s">
        <v>686</v>
      </c>
      <c r="C20" s="605"/>
      <c r="D20" s="606"/>
      <c r="E20" s="606"/>
      <c r="F20" s="606"/>
    </row>
    <row r="21" spans="2:9" ht="12" customHeight="1" x14ac:dyDescent="0.2">
      <c r="C21" s="1822"/>
      <c r="D21" s="1766"/>
      <c r="E21" s="1766"/>
      <c r="F21" s="1766"/>
    </row>
    <row r="22" spans="2:9" ht="12" customHeight="1" x14ac:dyDescent="0.2">
      <c r="B22" s="609"/>
      <c r="C22" s="329" t="s">
        <v>668</v>
      </c>
      <c r="D22" s="329" t="s">
        <v>354</v>
      </c>
      <c r="E22" s="329" t="s">
        <v>687</v>
      </c>
      <c r="F22" s="330" t="s">
        <v>688</v>
      </c>
      <c r="G22" s="297"/>
      <c r="H22" s="1769" t="s">
        <v>1</v>
      </c>
      <c r="I22" s="1759"/>
    </row>
    <row r="23" spans="2:9" ht="18.75" customHeight="1" x14ac:dyDescent="0.2">
      <c r="B23" s="612" t="s">
        <v>691</v>
      </c>
      <c r="C23" s="613"/>
      <c r="D23" s="614" t="s">
        <v>693</v>
      </c>
      <c r="E23" s="616"/>
      <c r="F23" s="617"/>
      <c r="G23" s="616"/>
      <c r="H23" s="235"/>
      <c r="I23" s="235"/>
    </row>
    <row r="24" spans="2:9" ht="11.25" customHeight="1" x14ac:dyDescent="0.2">
      <c r="B24" s="612"/>
      <c r="C24" s="613"/>
      <c r="D24" s="613"/>
      <c r="E24" s="620"/>
      <c r="F24" s="621"/>
      <c r="G24" s="620"/>
      <c r="H24" s="240" t="s">
        <v>433</v>
      </c>
      <c r="I24" s="241">
        <f>Summary!$E4</f>
        <v>1</v>
      </c>
    </row>
    <row r="25" spans="2:9" ht="11.25" customHeight="1" x14ac:dyDescent="0.2">
      <c r="B25" s="622" t="s">
        <v>695</v>
      </c>
      <c r="C25" s="623">
        <v>1467</v>
      </c>
      <c r="D25" s="624">
        <v>5.8037235656204409</v>
      </c>
      <c r="E25" s="626">
        <f t="shared" ref="E25:E28" si="1">C25*D25</f>
        <v>8514.0624707651859</v>
      </c>
      <c r="F25" s="627">
        <f t="shared" ref="F25:F28" si="2">E25*$I$25/1000000</f>
        <v>0.23754234293434867</v>
      </c>
      <c r="G25" s="628"/>
      <c r="H25" s="240" t="s">
        <v>438</v>
      </c>
      <c r="I25" s="241">
        <f>Summary!$E5</f>
        <v>27.9</v>
      </c>
    </row>
    <row r="26" spans="2:9" ht="18" customHeight="1" x14ac:dyDescent="0.2">
      <c r="B26" s="622" t="s">
        <v>697</v>
      </c>
      <c r="C26" s="623">
        <v>602</v>
      </c>
      <c r="D26" s="624">
        <v>2.1221753994811778</v>
      </c>
      <c r="E26" s="623">
        <f t="shared" si="1"/>
        <v>1277.5495904876691</v>
      </c>
      <c r="F26" s="627">
        <f t="shared" si="2"/>
        <v>3.5643633574605961E-2</v>
      </c>
      <c r="G26" s="628"/>
      <c r="H26" s="240" t="s">
        <v>444</v>
      </c>
      <c r="I26" s="241">
        <f>Summary!$E6</f>
        <v>273</v>
      </c>
    </row>
    <row r="27" spans="2:9" ht="18" customHeight="1" x14ac:dyDescent="0.2">
      <c r="B27" s="622" t="s">
        <v>698</v>
      </c>
      <c r="C27" s="623">
        <v>5402</v>
      </c>
      <c r="D27" s="624">
        <v>6.0046884276387047E-2</v>
      </c>
      <c r="E27" s="623">
        <f t="shared" si="1"/>
        <v>324.37326886104285</v>
      </c>
      <c r="F27" s="627">
        <f t="shared" si="2"/>
        <v>9.0500142012230958E-3</v>
      </c>
      <c r="G27" s="628"/>
      <c r="H27" s="240" t="s">
        <v>447</v>
      </c>
      <c r="I27" s="247">
        <f>Summary!$E7</f>
        <v>24300</v>
      </c>
    </row>
    <row r="28" spans="2:9" ht="11.25" customHeight="1" x14ac:dyDescent="0.2">
      <c r="B28" s="622" t="s">
        <v>699</v>
      </c>
      <c r="C28" s="623">
        <v>6309</v>
      </c>
      <c r="D28" s="624">
        <v>0.37164760100393374</v>
      </c>
      <c r="E28" s="623">
        <f t="shared" si="1"/>
        <v>2344.724714733818</v>
      </c>
      <c r="F28" s="627">
        <f t="shared" si="2"/>
        <v>6.5417819541073521E-2</v>
      </c>
      <c r="G28" s="628"/>
      <c r="H28" s="240"/>
      <c r="I28" s="247"/>
    </row>
    <row r="29" spans="2:9" ht="11.25" customHeight="1" x14ac:dyDescent="0.2">
      <c r="B29" s="438"/>
      <c r="C29" s="630"/>
      <c r="D29" s="631"/>
      <c r="E29" s="630"/>
      <c r="F29" s="632"/>
      <c r="G29" s="628"/>
    </row>
    <row r="30" spans="2:9" ht="11.25" customHeight="1" x14ac:dyDescent="0.2">
      <c r="B30" s="612" t="s">
        <v>700</v>
      </c>
      <c r="C30" s="630"/>
      <c r="D30" s="631"/>
      <c r="E30" s="630"/>
      <c r="F30" s="632"/>
      <c r="G30" s="628"/>
    </row>
    <row r="31" spans="2:9" ht="11.25" customHeight="1" x14ac:dyDescent="0.2">
      <c r="B31" s="622" t="s">
        <v>701</v>
      </c>
      <c r="C31" s="623">
        <v>964468</v>
      </c>
      <c r="D31" s="624">
        <v>1.5267140136098032E-2</v>
      </c>
      <c r="E31" s="623">
        <f t="shared" ref="E31:E33" si="3">C31*D31</f>
        <v>14724.668112782198</v>
      </c>
      <c r="F31" s="627">
        <f t="shared" ref="F31:F33" si="4">E31*$I$25/1000000</f>
        <v>0.41081824034662329</v>
      </c>
      <c r="G31" s="628"/>
    </row>
    <row r="32" spans="2:9" ht="11.25" customHeight="1" x14ac:dyDescent="0.2">
      <c r="B32" s="622" t="s">
        <v>703</v>
      </c>
      <c r="C32" s="623">
        <v>111375</v>
      </c>
      <c r="D32" s="624">
        <v>3.2750300015441415E-2</v>
      </c>
      <c r="E32" s="623">
        <f t="shared" si="3"/>
        <v>3647.5646642197876</v>
      </c>
      <c r="F32" s="627">
        <f t="shared" si="4"/>
        <v>0.10176705413173208</v>
      </c>
      <c r="G32" s="628"/>
    </row>
    <row r="33" spans="2:10" ht="11.25" customHeight="1" x14ac:dyDescent="0.2">
      <c r="B33" s="622" t="s">
        <v>704</v>
      </c>
      <c r="C33" s="623">
        <v>179097</v>
      </c>
      <c r="D33" s="624">
        <v>3.4007868318860182E-3</v>
      </c>
      <c r="E33" s="623">
        <f t="shared" si="3"/>
        <v>609.07071923029025</v>
      </c>
      <c r="F33" s="627">
        <f t="shared" si="4"/>
        <v>1.6993073066525095E-2</v>
      </c>
      <c r="G33" s="628"/>
    </row>
    <row r="34" spans="2:10" ht="12" customHeight="1" x14ac:dyDescent="0.2">
      <c r="B34" s="633" t="s">
        <v>679</v>
      </c>
      <c r="C34" s="634"/>
      <c r="D34" s="634"/>
      <c r="E34" s="635">
        <f t="shared" ref="E34:F34" si="5">SUM(E25:E33)</f>
        <v>31442.013541079992</v>
      </c>
      <c r="F34" s="636">
        <f t="shared" si="5"/>
        <v>0.87723217779613172</v>
      </c>
      <c r="G34" s="637"/>
    </row>
    <row r="35" spans="2:10" ht="12" customHeight="1" x14ac:dyDescent="0.2"/>
    <row r="36" spans="2:10" ht="11.25" customHeight="1" x14ac:dyDescent="0.2">
      <c r="B36" s="1822" t="s">
        <v>707</v>
      </c>
      <c r="C36" s="1766"/>
      <c r="D36" s="1766"/>
      <c r="E36" s="1766"/>
      <c r="F36" s="1766"/>
      <c r="G36" s="1766"/>
      <c r="H36" s="1766"/>
      <c r="I36" s="1766"/>
    </row>
    <row r="37" spans="2:10" ht="11.25" customHeight="1" x14ac:dyDescent="0.2">
      <c r="B37" s="603"/>
      <c r="C37" s="603"/>
      <c r="D37" s="603"/>
      <c r="E37" s="603"/>
      <c r="F37" s="603"/>
      <c r="G37" s="603"/>
      <c r="H37" s="603"/>
      <c r="I37" s="603"/>
    </row>
    <row r="38" spans="2:10" ht="11.25" customHeight="1" x14ac:dyDescent="0.2">
      <c r="B38" s="1822" t="s">
        <v>710</v>
      </c>
      <c r="C38" s="1766"/>
      <c r="D38" s="1766"/>
      <c r="E38" s="1766"/>
      <c r="F38" s="1766"/>
      <c r="G38" s="1766"/>
      <c r="H38" s="1766"/>
      <c r="I38" s="1766"/>
    </row>
    <row r="39" spans="2:10" ht="11.25" customHeight="1" x14ac:dyDescent="0.2"/>
    <row r="40" spans="2:10" ht="11.25" customHeight="1" x14ac:dyDescent="0.2"/>
    <row r="41" spans="2:10" ht="11.25" customHeight="1" x14ac:dyDescent="0.2"/>
    <row r="42" spans="2:10" ht="11.25" customHeight="1" x14ac:dyDescent="0.2"/>
    <row r="43" spans="2:10" ht="21" customHeight="1" x14ac:dyDescent="0.4">
      <c r="B43" s="639" t="s">
        <v>711</v>
      </c>
      <c r="C43" s="639"/>
      <c r="D43" s="639"/>
      <c r="E43" s="640"/>
      <c r="F43" s="641"/>
      <c r="G43" s="568"/>
      <c r="H43" s="288"/>
      <c r="I43" s="288"/>
      <c r="J43" s="288"/>
    </row>
    <row r="44" spans="2:10" ht="13.5" customHeight="1" x14ac:dyDescent="0.25">
      <c r="B44" s="288"/>
      <c r="C44" s="288"/>
      <c r="D44" s="288"/>
      <c r="E44" s="568"/>
      <c r="F44" s="288"/>
      <c r="G44" s="568"/>
      <c r="H44" s="288"/>
      <c r="I44" s="288"/>
      <c r="J44" s="288"/>
    </row>
    <row r="45" spans="2:10" ht="15" customHeight="1" x14ac:dyDescent="0.3">
      <c r="B45" s="580"/>
      <c r="C45" s="581" t="s">
        <v>668</v>
      </c>
      <c r="D45" s="643" t="s">
        <v>354</v>
      </c>
      <c r="E45" s="581" t="s">
        <v>715</v>
      </c>
      <c r="F45" s="583" t="s">
        <v>716</v>
      </c>
      <c r="G45" s="568"/>
      <c r="I45" s="568"/>
    </row>
    <row r="46" spans="2:10" ht="12.75" customHeight="1" x14ac:dyDescent="0.25">
      <c r="B46" s="584"/>
      <c r="C46" s="288"/>
      <c r="D46" s="1825" t="s">
        <v>717</v>
      </c>
      <c r="E46" s="288"/>
      <c r="F46" s="586"/>
      <c r="G46" s="568"/>
      <c r="I46" s="568"/>
    </row>
    <row r="47" spans="2:10" ht="13.5" customHeight="1" x14ac:dyDescent="0.25">
      <c r="B47" s="584"/>
      <c r="C47" s="649"/>
      <c r="D47" s="1808"/>
      <c r="E47" s="649"/>
      <c r="F47" s="650"/>
      <c r="G47" s="568"/>
      <c r="I47" s="572"/>
    </row>
    <row r="48" spans="2:10" ht="12.75" customHeight="1" x14ac:dyDescent="0.25">
      <c r="B48" s="588" t="s">
        <v>721</v>
      </c>
      <c r="C48" s="590">
        <v>899</v>
      </c>
      <c r="D48" s="654">
        <v>0.61847932799999994</v>
      </c>
      <c r="E48" s="590">
        <f t="shared" ref="E48:E50" si="6">C48*D48</f>
        <v>556.01291587199989</v>
      </c>
      <c r="F48" s="596">
        <f t="shared" ref="F48:F50" si="7">E48*$I$25/1000000</f>
        <v>1.5512760352828796E-2</v>
      </c>
      <c r="G48" s="568"/>
      <c r="I48" s="572"/>
    </row>
    <row r="49" spans="2:9" ht="25.5" customHeight="1" x14ac:dyDescent="0.25">
      <c r="B49" s="588" t="s">
        <v>732</v>
      </c>
      <c r="C49" s="590">
        <f>C48*0.006</f>
        <v>5.3940000000000001</v>
      </c>
      <c r="D49" s="667">
        <v>983.65967615375553</v>
      </c>
      <c r="E49" s="590">
        <f t="shared" si="6"/>
        <v>5305.8602931733576</v>
      </c>
      <c r="F49" s="596">
        <f t="shared" si="7"/>
        <v>0.14803350217953667</v>
      </c>
      <c r="G49" s="568"/>
      <c r="I49" s="572"/>
    </row>
    <row r="50" spans="2:9" ht="25.5" customHeight="1" x14ac:dyDescent="0.25">
      <c r="B50" s="588" t="s">
        <v>739</v>
      </c>
      <c r="C50" s="590">
        <f>C48*0.0015</f>
        <v>1.3485</v>
      </c>
      <c r="D50" s="667">
        <v>964.14925058889139</v>
      </c>
      <c r="E50" s="590">
        <f t="shared" si="6"/>
        <v>1300.1552644191202</v>
      </c>
      <c r="F50" s="596">
        <f t="shared" si="7"/>
        <v>3.6274331877293453E-2</v>
      </c>
      <c r="G50" s="568"/>
      <c r="I50" s="572"/>
    </row>
    <row r="51" spans="2:9" ht="14.25" customHeight="1" x14ac:dyDescent="0.3">
      <c r="B51" s="674" t="s">
        <v>679</v>
      </c>
      <c r="C51" s="288"/>
      <c r="D51" s="288"/>
      <c r="E51" s="600">
        <f>SUM(E47:E50)</f>
        <v>7162.0284734644774</v>
      </c>
      <c r="F51" s="601">
        <f>SUM(F48:F50)</f>
        <v>0.19982059440965894</v>
      </c>
      <c r="G51" s="568"/>
      <c r="I51" s="681"/>
    </row>
    <row r="52" spans="2:9" ht="12" customHeight="1" x14ac:dyDescent="0.2">
      <c r="B52" s="154"/>
      <c r="C52" s="155"/>
      <c r="D52" s="155"/>
      <c r="E52" s="155"/>
      <c r="F52" s="156"/>
    </row>
    <row r="53" spans="2:9" ht="12" customHeight="1" x14ac:dyDescent="0.2">
      <c r="B53" s="24"/>
      <c r="C53" s="24"/>
      <c r="D53" s="24"/>
      <c r="E53" s="24"/>
      <c r="F53" s="24"/>
    </row>
    <row r="54" spans="2:9" ht="11.25" customHeight="1" x14ac:dyDescent="0.2">
      <c r="B54" s="1822" t="s">
        <v>743</v>
      </c>
      <c r="C54" s="1766"/>
      <c r="D54" s="1766"/>
      <c r="E54" s="1766"/>
      <c r="F54" s="1766"/>
      <c r="G54" s="1766"/>
      <c r="H54" s="1766"/>
      <c r="I54" s="1766"/>
    </row>
    <row r="55" spans="2:9" ht="11.25" customHeight="1" x14ac:dyDescent="0.2">
      <c r="B55" s="1822" t="s">
        <v>744</v>
      </c>
      <c r="C55" s="1766"/>
      <c r="D55" s="1766"/>
      <c r="E55" s="1766"/>
      <c r="F55" s="1766"/>
      <c r="G55" s="1766"/>
      <c r="H55" s="1766"/>
      <c r="I55" s="1766"/>
    </row>
    <row r="56" spans="2:9" ht="11.25" customHeight="1" x14ac:dyDescent="0.2">
      <c r="B56" s="1822" t="s">
        <v>745</v>
      </c>
      <c r="C56" s="1766"/>
      <c r="D56" s="1766"/>
      <c r="E56" s="1766"/>
      <c r="F56" s="1766"/>
      <c r="G56" s="1766"/>
      <c r="H56" s="1766"/>
      <c r="I56" s="1766"/>
    </row>
    <row r="57" spans="2:9" ht="11.25" customHeight="1" x14ac:dyDescent="0.2">
      <c r="B57" s="1822" t="s">
        <v>747</v>
      </c>
      <c r="C57" s="1766"/>
      <c r="D57" s="1766"/>
      <c r="E57" s="1766"/>
      <c r="F57" s="1766"/>
      <c r="G57" s="1766"/>
      <c r="H57" s="1766"/>
      <c r="I57" s="1766"/>
    </row>
    <row r="58" spans="2:9" ht="11.25" customHeight="1" x14ac:dyDescent="0.2">
      <c r="B58" s="1822" t="s">
        <v>749</v>
      </c>
      <c r="C58" s="1766"/>
      <c r="D58" s="1766"/>
      <c r="E58" s="1766"/>
      <c r="F58" s="1766"/>
      <c r="G58" s="1766"/>
      <c r="H58" s="1766"/>
      <c r="I58" s="1766"/>
    </row>
    <row r="59" spans="2:9" ht="11.25" customHeight="1" x14ac:dyDescent="0.2">
      <c r="B59" s="24"/>
      <c r="C59" s="24"/>
      <c r="D59" s="24"/>
      <c r="E59" s="24"/>
      <c r="F59" s="24"/>
    </row>
    <row r="60" spans="2:9" ht="11.25" customHeight="1" x14ac:dyDescent="0.2">
      <c r="B60" s="24"/>
      <c r="C60" s="24"/>
      <c r="D60" s="24"/>
      <c r="E60" s="24"/>
      <c r="F60" s="24"/>
    </row>
    <row r="61" spans="2:9" ht="11.25" customHeight="1" x14ac:dyDescent="0.2">
      <c r="B61" s="24"/>
      <c r="C61" s="24"/>
      <c r="D61" s="24"/>
      <c r="E61" s="24"/>
      <c r="F61" s="24"/>
    </row>
    <row r="62" spans="2:9" ht="11.25" customHeight="1" x14ac:dyDescent="0.2">
      <c r="B62" s="24"/>
      <c r="C62" s="24"/>
      <c r="D62" s="24"/>
      <c r="E62" s="24"/>
      <c r="F62" s="24"/>
    </row>
    <row r="63" spans="2:9" ht="11.25" customHeight="1" x14ac:dyDescent="0.2">
      <c r="B63" s="24"/>
      <c r="C63" s="24"/>
      <c r="D63" s="24"/>
      <c r="E63" s="24"/>
      <c r="F63" s="24"/>
    </row>
    <row r="64" spans="2:9" ht="11.25" customHeight="1" x14ac:dyDescent="0.2"/>
    <row r="65" spans="2:11" ht="21" customHeight="1" x14ac:dyDescent="0.4">
      <c r="B65" s="605" t="s">
        <v>757</v>
      </c>
      <c r="C65" s="605"/>
      <c r="D65" s="606"/>
      <c r="E65" s="606"/>
      <c r="F65" s="606"/>
    </row>
    <row r="66" spans="2:11" ht="12" customHeight="1" x14ac:dyDescent="0.2"/>
    <row r="67" spans="2:11" ht="15" customHeight="1" x14ac:dyDescent="0.25">
      <c r="B67" s="169"/>
      <c r="C67" s="696">
        <v>2006</v>
      </c>
      <c r="D67" s="1823" t="s">
        <v>758</v>
      </c>
      <c r="E67" s="1824"/>
      <c r="F67" s="1762"/>
      <c r="G67" s="699" t="s">
        <v>759</v>
      </c>
      <c r="H67" s="703" t="s">
        <v>761</v>
      </c>
      <c r="I67" s="366" t="s">
        <v>763</v>
      </c>
      <c r="J67" s="366" t="s">
        <v>764</v>
      </c>
      <c r="K67" s="706" t="s">
        <v>765</v>
      </c>
    </row>
    <row r="68" spans="2:11" ht="14.25" customHeight="1" x14ac:dyDescent="0.25">
      <c r="B68" s="707" t="s">
        <v>766</v>
      </c>
      <c r="C68" s="708" t="s">
        <v>768</v>
      </c>
      <c r="D68" s="703" t="s">
        <v>769</v>
      </c>
      <c r="E68" s="703" t="s">
        <v>770</v>
      </c>
      <c r="F68" s="703" t="s">
        <v>771</v>
      </c>
      <c r="G68" s="68" t="s">
        <v>364</v>
      </c>
      <c r="H68" s="710" t="s">
        <v>772</v>
      </c>
      <c r="I68" s="62" t="s">
        <v>773</v>
      </c>
      <c r="J68" s="62" t="s">
        <v>774</v>
      </c>
      <c r="K68" s="183"/>
    </row>
    <row r="69" spans="2:11" ht="12" customHeight="1" x14ac:dyDescent="0.2">
      <c r="B69" s="194"/>
      <c r="C69" s="713"/>
      <c r="D69" s="713" t="s">
        <v>779</v>
      </c>
      <c r="E69" s="713" t="s">
        <v>780</v>
      </c>
      <c r="F69" s="713" t="s">
        <v>780</v>
      </c>
      <c r="G69" s="77"/>
      <c r="H69" s="713"/>
      <c r="I69" s="74"/>
      <c r="J69" s="74"/>
      <c r="K69" s="195"/>
    </row>
    <row r="70" spans="2:11" ht="13.5" customHeight="1" x14ac:dyDescent="0.2">
      <c r="B70" s="717" t="s">
        <v>781</v>
      </c>
      <c r="C70" s="719">
        <v>2426.84465</v>
      </c>
      <c r="D70" s="720">
        <v>31.87</v>
      </c>
      <c r="E70" s="721">
        <v>9.4955026735800017E-5</v>
      </c>
      <c r="F70" s="721">
        <v>9.4955026735800007E-4</v>
      </c>
      <c r="G70" s="723">
        <v>1</v>
      </c>
      <c r="H70" s="728">
        <f>C70*1000*D70*(44/12)*0.00045359237*0.90718/1000000</f>
        <v>0.11669565290015972</v>
      </c>
      <c r="I70" s="729">
        <f>C70*E70*$I$26*0.000001</f>
        <v>6.2910419924456623E-5</v>
      </c>
      <c r="J70" s="731">
        <f>C70*F70*$I$25*0.000001</f>
        <v>6.4293066516202908E-5</v>
      </c>
      <c r="K70" s="733">
        <f>H70+I70+J70</f>
        <v>0.11682285638660038</v>
      </c>
    </row>
    <row r="71" spans="2:11" ht="11.25" customHeight="1" x14ac:dyDescent="0.2"/>
    <row r="72" spans="2:11" ht="12.75" customHeight="1" x14ac:dyDescent="0.2">
      <c r="B72" s="25" t="s">
        <v>786</v>
      </c>
      <c r="C72" s="84">
        <f>C70*1000</f>
        <v>2426844.65</v>
      </c>
    </row>
    <row r="73" spans="2:11" ht="11.25" customHeight="1" x14ac:dyDescent="0.2"/>
    <row r="74" spans="2:11" ht="11.25" customHeight="1" x14ac:dyDescent="0.2"/>
    <row r="75" spans="2:11" ht="11.25" customHeight="1" x14ac:dyDescent="0.2">
      <c r="B75" s="161" t="s">
        <v>788</v>
      </c>
    </row>
    <row r="76" spans="2:11" ht="11.25" customHeight="1" x14ac:dyDescent="0.2"/>
    <row r="77" spans="2:11" ht="11.25" customHeight="1" x14ac:dyDescent="0.2"/>
    <row r="78" spans="2:11" ht="12" customHeight="1" x14ac:dyDescent="0.2"/>
    <row r="79" spans="2:11" ht="15.75" customHeight="1" x14ac:dyDescent="0.3">
      <c r="B79" s="736" t="s">
        <v>790</v>
      </c>
      <c r="C79" s="737"/>
    </row>
    <row r="80" spans="2:11" ht="15" customHeight="1" x14ac:dyDescent="0.3">
      <c r="B80" s="738"/>
      <c r="C80" s="739">
        <v>2006</v>
      </c>
    </row>
    <row r="81" spans="2:3" ht="12.75" customHeight="1" x14ac:dyDescent="0.25">
      <c r="B81" s="584" t="s">
        <v>63</v>
      </c>
      <c r="C81" s="741">
        <f>C82+C83+C84+C85</f>
        <v>1.1946767827442804</v>
      </c>
    </row>
    <row r="82" spans="2:3" ht="12.75" customHeight="1" x14ac:dyDescent="0.25">
      <c r="B82" s="743" t="s">
        <v>791</v>
      </c>
      <c r="C82" s="744">
        <f>F10</f>
        <v>8.011541518894498E-4</v>
      </c>
    </row>
    <row r="83" spans="2:3" ht="12.75" customHeight="1" x14ac:dyDescent="0.25">
      <c r="B83" s="743" t="s">
        <v>793</v>
      </c>
      <c r="C83" s="744">
        <f>F51</f>
        <v>0.19982059440965894</v>
      </c>
    </row>
    <row r="84" spans="2:3" ht="12.75" customHeight="1" x14ac:dyDescent="0.25">
      <c r="B84" s="743" t="s">
        <v>794</v>
      </c>
      <c r="C84" s="744">
        <f>F34</f>
        <v>0.87723217779613172</v>
      </c>
    </row>
    <row r="85" spans="2:3" ht="12.75" customHeight="1" x14ac:dyDescent="0.25">
      <c r="B85" s="584" t="s">
        <v>796</v>
      </c>
      <c r="C85" s="744">
        <f>K70</f>
        <v>0.11682285638660038</v>
      </c>
    </row>
    <row r="86" spans="2:3" ht="12" customHeight="1" x14ac:dyDescent="0.2">
      <c r="B86" s="154"/>
      <c r="C86" s="156"/>
    </row>
    <row r="87" spans="2:3" ht="12" customHeight="1" x14ac:dyDescent="0.2"/>
    <row r="88" spans="2:3" ht="11.25" customHeight="1" x14ac:dyDescent="0.2"/>
    <row r="89" spans="2:3" ht="11.25" customHeight="1" x14ac:dyDescent="0.2"/>
    <row r="90" spans="2:3" ht="11.25" customHeight="1" x14ac:dyDescent="0.2"/>
    <row r="91" spans="2:3" ht="11.25" customHeight="1" x14ac:dyDescent="0.2"/>
    <row r="92" spans="2:3" ht="11.25" customHeight="1" x14ac:dyDescent="0.2"/>
    <row r="93" spans="2:3" ht="11.25" customHeight="1" x14ac:dyDescent="0.2"/>
    <row r="94" spans="2:3" ht="11.25" customHeight="1" x14ac:dyDescent="0.2"/>
    <row r="95" spans="2:3" ht="11.25" customHeight="1" x14ac:dyDescent="0.2"/>
    <row r="96" spans="2:3"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2">
    <mergeCell ref="D46:D47"/>
    <mergeCell ref="B54:I54"/>
    <mergeCell ref="B15:I15"/>
    <mergeCell ref="C21:F21"/>
    <mergeCell ref="H22:I22"/>
    <mergeCell ref="B36:I36"/>
    <mergeCell ref="B38:I38"/>
    <mergeCell ref="B55:I55"/>
    <mergeCell ref="B56:I56"/>
    <mergeCell ref="B57:I57"/>
    <mergeCell ref="B58:I58"/>
    <mergeCell ref="D67:F67"/>
  </mergeCells>
  <pageMargins left="0.7" right="0.7" top="0.75" bottom="0.75" header="0" footer="0"/>
  <pageSetup orientation="landscape"/>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defaultColWidth="16.83203125" defaultRowHeight="15" customHeight="1" x14ac:dyDescent="0.2"/>
  <cols>
    <col min="1" max="1" width="4.6640625" customWidth="1"/>
    <col min="2" max="2" width="26.6640625" customWidth="1"/>
    <col min="3" max="3" width="23.5" customWidth="1"/>
    <col min="4" max="4" width="17" customWidth="1"/>
    <col min="5" max="5" width="3.83203125" customWidth="1"/>
    <col min="6" max="6" width="13.83203125" customWidth="1"/>
    <col min="7" max="7" width="3.83203125" customWidth="1"/>
    <col min="8" max="8" width="18.83203125" customWidth="1"/>
    <col min="9" max="9" width="3.83203125" customWidth="1"/>
    <col min="10" max="10" width="10.6640625" customWidth="1"/>
    <col min="11" max="11" width="3.83203125" customWidth="1"/>
    <col min="12" max="12" width="11.5" customWidth="1"/>
    <col min="13" max="13" width="3.83203125" customWidth="1"/>
    <col min="14" max="14" width="10.33203125" customWidth="1"/>
    <col min="15" max="26" width="8" customWidth="1"/>
  </cols>
  <sheetData>
    <row r="1" spans="1:26" ht="33" customHeight="1" x14ac:dyDescent="0.45">
      <c r="A1" s="11" t="s">
        <v>713</v>
      </c>
      <c r="B1" s="13"/>
      <c r="D1" s="16"/>
      <c r="G1" s="24"/>
      <c r="H1" s="24"/>
    </row>
    <row r="2" spans="1:26" ht="206.25" customHeight="1" x14ac:dyDescent="0.45">
      <c r="A2" s="645"/>
      <c r="B2" s="647"/>
      <c r="C2" s="648"/>
    </row>
    <row r="3" spans="1:26" ht="18.75" customHeight="1" x14ac:dyDescent="0.3">
      <c r="A3" s="161"/>
      <c r="B3" s="204" t="s">
        <v>718</v>
      </c>
      <c r="C3" s="161"/>
      <c r="D3" s="161"/>
      <c r="E3" s="161"/>
      <c r="F3" s="161"/>
      <c r="G3" s="161"/>
      <c r="H3" s="161"/>
      <c r="I3" s="161"/>
      <c r="J3" s="161"/>
      <c r="K3" s="161"/>
      <c r="L3" s="161"/>
      <c r="M3" s="161"/>
      <c r="N3" s="161"/>
      <c r="O3" s="161"/>
      <c r="P3" s="161"/>
      <c r="Q3" s="161"/>
      <c r="R3" s="161"/>
      <c r="S3" s="161"/>
      <c r="T3" s="161"/>
      <c r="U3" s="161"/>
      <c r="V3" s="161"/>
      <c r="W3" s="161"/>
      <c r="X3" s="161"/>
      <c r="Y3" s="161"/>
      <c r="Z3" s="161"/>
    </row>
    <row r="4" spans="1:26" ht="45.75" customHeight="1" x14ac:dyDescent="0.2">
      <c r="A4" s="651"/>
      <c r="B4" s="652" t="s">
        <v>720</v>
      </c>
      <c r="C4" s="653" t="s">
        <v>722</v>
      </c>
      <c r="D4" s="655" t="s">
        <v>724</v>
      </c>
      <c r="E4" s="653"/>
      <c r="F4" s="655" t="s">
        <v>726</v>
      </c>
      <c r="G4" s="653"/>
      <c r="H4" s="655" t="s">
        <v>727</v>
      </c>
      <c r="I4" s="656"/>
      <c r="J4" s="655" t="s">
        <v>728</v>
      </c>
      <c r="K4" s="656"/>
      <c r="L4" s="655" t="s">
        <v>729</v>
      </c>
      <c r="M4" s="161"/>
      <c r="N4" s="655" t="s">
        <v>730</v>
      </c>
      <c r="O4" s="161"/>
      <c r="P4" s="161"/>
      <c r="Q4" s="161"/>
      <c r="R4" s="161"/>
      <c r="S4" s="161"/>
      <c r="T4" s="161"/>
      <c r="U4" s="161"/>
      <c r="V4" s="161"/>
      <c r="W4" s="161"/>
      <c r="X4" s="161"/>
      <c r="Y4" s="161"/>
      <c r="Z4" s="161"/>
    </row>
    <row r="5" spans="1:26" ht="12.75" customHeight="1" x14ac:dyDescent="0.2">
      <c r="A5" s="651"/>
      <c r="B5" s="659" t="s">
        <v>731</v>
      </c>
      <c r="C5" s="660"/>
      <c r="D5" s="661"/>
      <c r="E5" s="663"/>
      <c r="F5" s="161"/>
      <c r="G5" s="161"/>
      <c r="H5" s="161"/>
      <c r="I5" s="161"/>
      <c r="J5" s="664"/>
      <c r="K5" s="161"/>
      <c r="L5" s="161"/>
      <c r="M5" s="161"/>
      <c r="N5" s="161"/>
      <c r="O5" s="161"/>
      <c r="P5" s="161"/>
      <c r="Q5" s="161"/>
      <c r="R5" s="161"/>
      <c r="S5" s="161"/>
      <c r="T5" s="161"/>
      <c r="U5" s="161"/>
      <c r="V5" s="161"/>
      <c r="W5" s="161"/>
      <c r="X5" s="161"/>
      <c r="Y5" s="161"/>
      <c r="Z5" s="161"/>
    </row>
    <row r="6" spans="1:26" ht="12.75" customHeight="1" x14ac:dyDescent="0.2">
      <c r="A6" s="651"/>
      <c r="B6" s="666" t="s">
        <v>736</v>
      </c>
      <c r="C6" s="659"/>
      <c r="D6" s="669">
        <v>0</v>
      </c>
      <c r="E6" s="663" t="s">
        <v>737</v>
      </c>
      <c r="F6" s="669">
        <v>0</v>
      </c>
      <c r="G6" s="671" t="s">
        <v>738</v>
      </c>
      <c r="H6" s="669">
        <v>0</v>
      </c>
      <c r="I6" s="663" t="s">
        <v>740</v>
      </c>
      <c r="J6" s="673">
        <f>D6+F6-H6</f>
        <v>0</v>
      </c>
      <c r="K6" s="663" t="s">
        <v>740</v>
      </c>
      <c r="L6" s="676">
        <f>J6*1000000*0.0000192</f>
        <v>0</v>
      </c>
      <c r="M6" s="663" t="s">
        <v>740</v>
      </c>
      <c r="N6" s="676">
        <f>(L6*$Q$9)</f>
        <v>0</v>
      </c>
      <c r="O6" s="161"/>
      <c r="P6" s="1769" t="s">
        <v>1</v>
      </c>
      <c r="Q6" s="1759"/>
      <c r="R6" s="161"/>
      <c r="S6" s="161"/>
      <c r="T6" s="161"/>
      <c r="U6" s="161"/>
      <c r="V6" s="161"/>
      <c r="W6" s="161"/>
      <c r="X6" s="161"/>
      <c r="Y6" s="161"/>
      <c r="Z6" s="161"/>
    </row>
    <row r="7" spans="1:26" ht="12.75" customHeight="1" x14ac:dyDescent="0.2">
      <c r="A7" s="651"/>
      <c r="B7" s="659"/>
      <c r="C7" s="659"/>
      <c r="D7" s="683"/>
      <c r="E7" s="663"/>
      <c r="F7" s="661"/>
      <c r="G7" s="663"/>
      <c r="H7" s="685"/>
      <c r="I7" s="663"/>
      <c r="J7" s="686"/>
      <c r="K7" s="663"/>
      <c r="L7" s="687"/>
      <c r="M7" s="663"/>
      <c r="N7" s="687"/>
      <c r="O7" s="161"/>
      <c r="P7" s="235"/>
      <c r="Q7" s="235"/>
      <c r="R7" s="161"/>
      <c r="S7" s="161"/>
      <c r="T7" s="161"/>
      <c r="U7" s="161"/>
      <c r="V7" s="161"/>
      <c r="W7" s="161"/>
      <c r="X7" s="161"/>
      <c r="Y7" s="161"/>
      <c r="Z7" s="161"/>
    </row>
    <row r="8" spans="1:26" ht="27.75" customHeight="1" x14ac:dyDescent="0.2">
      <c r="A8" s="651"/>
      <c r="B8" s="688"/>
      <c r="C8" s="688"/>
      <c r="D8" s="689" t="s">
        <v>746</v>
      </c>
      <c r="E8" s="663"/>
      <c r="F8" s="655" t="s">
        <v>748</v>
      </c>
      <c r="G8" s="663"/>
      <c r="H8" s="655" t="s">
        <v>750</v>
      </c>
      <c r="I8" s="663"/>
      <c r="J8" s="655" t="s">
        <v>751</v>
      </c>
      <c r="K8" s="161"/>
      <c r="L8" s="655" t="s">
        <v>752</v>
      </c>
      <c r="M8" s="663"/>
      <c r="N8" s="687"/>
      <c r="O8" s="161"/>
      <c r="P8" s="240" t="s">
        <v>433</v>
      </c>
      <c r="Q8" s="241">
        <f>Summary!$E4</f>
        <v>1</v>
      </c>
      <c r="R8" s="161"/>
      <c r="S8" s="161"/>
      <c r="T8" s="161"/>
      <c r="U8" s="161"/>
      <c r="V8" s="161"/>
      <c r="W8" s="161"/>
      <c r="X8" s="161"/>
      <c r="Y8" s="161"/>
      <c r="Z8" s="161"/>
    </row>
    <row r="9" spans="1:26" ht="12.75" customHeight="1" x14ac:dyDescent="0.2">
      <c r="A9" s="651"/>
      <c r="B9" s="666" t="s">
        <v>753</v>
      </c>
      <c r="C9" s="688" t="s">
        <v>754</v>
      </c>
      <c r="D9" s="669">
        <v>2228</v>
      </c>
      <c r="E9" s="663" t="s">
        <v>755</v>
      </c>
      <c r="F9" s="693">
        <v>119</v>
      </c>
      <c r="G9" s="663" t="s">
        <v>740</v>
      </c>
      <c r="H9" s="676">
        <f>D9*F9</f>
        <v>265132</v>
      </c>
      <c r="I9" s="663" t="s">
        <v>740</v>
      </c>
      <c r="J9" s="676">
        <v>5090.5343999999996</v>
      </c>
      <c r="K9" s="663" t="s">
        <v>740</v>
      </c>
      <c r="L9" s="676">
        <f>(J9*$Q$9)</f>
        <v>142025.90975999998</v>
      </c>
      <c r="M9" s="663"/>
      <c r="N9" s="687"/>
      <c r="O9" s="161"/>
      <c r="P9" s="240" t="s">
        <v>438</v>
      </c>
      <c r="Q9" s="241">
        <f>Summary!$E5</f>
        <v>27.9</v>
      </c>
      <c r="R9" s="161"/>
      <c r="S9" s="161"/>
      <c r="T9" s="161"/>
      <c r="U9" s="161"/>
      <c r="V9" s="161"/>
      <c r="W9" s="161"/>
      <c r="X9" s="161"/>
      <c r="Y9" s="161"/>
      <c r="Z9" s="161"/>
    </row>
    <row r="10" spans="1:26" ht="12.75" customHeight="1" x14ac:dyDescent="0.2">
      <c r="A10" s="651"/>
      <c r="B10" s="659"/>
      <c r="C10" s="688" t="s">
        <v>760</v>
      </c>
      <c r="D10" s="700">
        <v>0</v>
      </c>
      <c r="E10" s="663" t="s">
        <v>755</v>
      </c>
      <c r="F10" s="693">
        <v>0</v>
      </c>
      <c r="G10" s="663" t="s">
        <v>740</v>
      </c>
      <c r="H10" s="702" t="s">
        <v>738</v>
      </c>
      <c r="I10" s="663" t="s">
        <v>740</v>
      </c>
      <c r="J10" s="702" t="s">
        <v>738</v>
      </c>
      <c r="K10" s="704" t="s">
        <v>740</v>
      </c>
      <c r="L10" s="702" t="s">
        <v>738</v>
      </c>
      <c r="M10" s="663"/>
      <c r="N10" s="687"/>
      <c r="O10" s="161"/>
      <c r="P10" s="240" t="s">
        <v>444</v>
      </c>
      <c r="Q10" s="241">
        <f>Summary!$E6</f>
        <v>273</v>
      </c>
      <c r="R10" s="161"/>
      <c r="S10" s="161"/>
      <c r="T10" s="161"/>
      <c r="U10" s="161"/>
      <c r="V10" s="161"/>
      <c r="W10" s="161"/>
      <c r="X10" s="161"/>
      <c r="Y10" s="161"/>
      <c r="Z10" s="161"/>
    </row>
    <row r="11" spans="1:26" ht="12.75" customHeight="1" x14ac:dyDescent="0.2">
      <c r="A11" s="651"/>
      <c r="B11" s="161"/>
      <c r="C11" s="161"/>
      <c r="D11" s="661"/>
      <c r="E11" s="161"/>
      <c r="F11" s="709"/>
      <c r="G11" s="161"/>
      <c r="H11" s="161"/>
      <c r="I11" s="161"/>
      <c r="J11" s="161"/>
      <c r="K11" s="161"/>
      <c r="L11" s="161"/>
      <c r="M11" s="161"/>
      <c r="N11" s="161"/>
      <c r="O11" s="161"/>
      <c r="P11" s="240" t="s">
        <v>447</v>
      </c>
      <c r="Q11" s="247">
        <f>Summary!$E7</f>
        <v>24300</v>
      </c>
      <c r="R11" s="161"/>
      <c r="S11" s="161"/>
      <c r="T11" s="161"/>
      <c r="U11" s="161"/>
      <c r="V11" s="161"/>
      <c r="W11" s="161"/>
      <c r="X11" s="161"/>
      <c r="Y11" s="161"/>
      <c r="Z11" s="161"/>
    </row>
    <row r="12" spans="1:26" ht="27.75" customHeight="1" x14ac:dyDescent="0.2">
      <c r="A12" s="651"/>
      <c r="B12" s="659" t="s">
        <v>775</v>
      </c>
      <c r="C12" s="660"/>
      <c r="D12" s="712" t="s">
        <v>776</v>
      </c>
      <c r="E12" s="663"/>
      <c r="F12" s="716" t="s">
        <v>777</v>
      </c>
      <c r="G12" s="663"/>
      <c r="H12" s="718" t="s">
        <v>782</v>
      </c>
      <c r="I12" s="161"/>
      <c r="J12" s="655" t="s">
        <v>783</v>
      </c>
      <c r="K12" s="161"/>
      <c r="L12" s="655" t="s">
        <v>784</v>
      </c>
      <c r="M12" s="161"/>
      <c r="N12" s="655"/>
      <c r="O12" s="161"/>
      <c r="P12" s="240"/>
      <c r="Q12" s="247"/>
      <c r="R12" s="161"/>
      <c r="S12" s="161"/>
      <c r="T12" s="161"/>
      <c r="U12" s="161"/>
      <c r="V12" s="161"/>
      <c r="W12" s="161"/>
      <c r="X12" s="161"/>
      <c r="Y12" s="161"/>
      <c r="Z12" s="161"/>
    </row>
    <row r="13" spans="1:26" ht="12.75" customHeight="1" x14ac:dyDescent="0.2">
      <c r="A13" s="651"/>
      <c r="B13" s="666" t="s">
        <v>736</v>
      </c>
      <c r="C13" s="688" t="s">
        <v>754</v>
      </c>
      <c r="D13" s="669">
        <v>0</v>
      </c>
      <c r="E13" s="663" t="s">
        <v>755</v>
      </c>
      <c r="F13" s="725">
        <v>44.98</v>
      </c>
      <c r="G13" s="663" t="s">
        <v>740</v>
      </c>
      <c r="H13" s="676">
        <f>D13*F13</f>
        <v>0</v>
      </c>
      <c r="I13" s="663" t="s">
        <v>740</v>
      </c>
      <c r="J13" s="676">
        <f>H13*0.0000192*1000</f>
        <v>0</v>
      </c>
      <c r="K13" s="704" t="s">
        <v>740</v>
      </c>
      <c r="L13" s="676">
        <f>(J13*$Q$9)</f>
        <v>0</v>
      </c>
      <c r="M13" s="663"/>
      <c r="N13" s="687"/>
      <c r="O13" s="161"/>
      <c r="P13" s="161"/>
      <c r="Q13" s="161"/>
      <c r="R13" s="161"/>
      <c r="S13" s="161"/>
      <c r="T13" s="161"/>
      <c r="U13" s="161"/>
      <c r="V13" s="161"/>
      <c r="W13" s="161"/>
      <c r="X13" s="161"/>
      <c r="Y13" s="161"/>
      <c r="Z13" s="161"/>
    </row>
    <row r="14" spans="1:26" ht="12.75" customHeight="1" x14ac:dyDescent="0.2">
      <c r="A14" s="651"/>
      <c r="B14" s="659"/>
      <c r="C14" s="688" t="s">
        <v>760</v>
      </c>
      <c r="D14" s="669">
        <v>0</v>
      </c>
      <c r="E14" s="663" t="s">
        <v>755</v>
      </c>
      <c r="F14" s="725">
        <v>0</v>
      </c>
      <c r="G14" s="663" t="s">
        <v>740</v>
      </c>
      <c r="H14" s="702" t="s">
        <v>738</v>
      </c>
      <c r="I14" s="663" t="s">
        <v>740</v>
      </c>
      <c r="J14" s="702" t="s">
        <v>738</v>
      </c>
      <c r="K14" s="704" t="s">
        <v>740</v>
      </c>
      <c r="L14" s="702" t="s">
        <v>738</v>
      </c>
      <c r="M14" s="663"/>
      <c r="N14" s="687"/>
      <c r="O14" s="161"/>
      <c r="P14" s="161"/>
      <c r="Q14" s="161"/>
      <c r="R14" s="161"/>
      <c r="S14" s="161"/>
      <c r="T14" s="161"/>
      <c r="U14" s="161"/>
      <c r="V14" s="161"/>
      <c r="W14" s="161"/>
      <c r="X14" s="161"/>
      <c r="Y14" s="161"/>
      <c r="Z14" s="161"/>
    </row>
    <row r="15" spans="1:26" ht="12.75" customHeight="1" x14ac:dyDescent="0.2">
      <c r="A15" s="651"/>
      <c r="B15" s="666" t="s">
        <v>753</v>
      </c>
      <c r="C15" s="688" t="s">
        <v>754</v>
      </c>
      <c r="D15" s="669">
        <v>2228</v>
      </c>
      <c r="E15" s="663" t="s">
        <v>755</v>
      </c>
      <c r="F15" s="725">
        <v>19.337499999999999</v>
      </c>
      <c r="G15" s="663" t="s">
        <v>740</v>
      </c>
      <c r="H15" s="676">
        <f>D15*F15</f>
        <v>43083.95</v>
      </c>
      <c r="I15" s="663" t="s">
        <v>740</v>
      </c>
      <c r="J15" s="676">
        <f>H15*0.0000192*1000</f>
        <v>827.21183999999994</v>
      </c>
      <c r="K15" s="704" t="s">
        <v>740</v>
      </c>
      <c r="L15" s="676">
        <f>(J15*$Q$9)</f>
        <v>23079.210335999996</v>
      </c>
      <c r="M15" s="663"/>
      <c r="N15" s="687"/>
      <c r="O15" s="161"/>
      <c r="P15" s="161"/>
      <c r="Q15" s="161"/>
      <c r="R15" s="161"/>
      <c r="S15" s="161"/>
      <c r="T15" s="161"/>
      <c r="U15" s="161"/>
      <c r="V15" s="161"/>
      <c r="W15" s="161"/>
      <c r="X15" s="161"/>
      <c r="Y15" s="161"/>
      <c r="Z15" s="161"/>
    </row>
    <row r="16" spans="1:26" ht="12.75" customHeight="1" x14ac:dyDescent="0.2">
      <c r="A16" s="651"/>
      <c r="B16" s="659"/>
      <c r="C16" s="688" t="s">
        <v>760</v>
      </c>
      <c r="D16" s="669">
        <v>0</v>
      </c>
      <c r="E16" s="663" t="s">
        <v>755</v>
      </c>
      <c r="F16" s="725">
        <v>0</v>
      </c>
      <c r="G16" s="663" t="s">
        <v>740</v>
      </c>
      <c r="H16" s="702" t="s">
        <v>760</v>
      </c>
      <c r="I16" s="663" t="s">
        <v>740</v>
      </c>
      <c r="J16" s="702" t="s">
        <v>760</v>
      </c>
      <c r="K16" s="704" t="s">
        <v>740</v>
      </c>
      <c r="L16" s="702" t="s">
        <v>760</v>
      </c>
      <c r="M16" s="663"/>
      <c r="N16" s="687"/>
      <c r="O16" s="161"/>
      <c r="P16" s="161"/>
      <c r="Q16" s="161"/>
      <c r="R16" s="161"/>
      <c r="S16" s="161"/>
      <c r="T16" s="161"/>
      <c r="U16" s="161"/>
      <c r="V16" s="161"/>
      <c r="W16" s="161"/>
      <c r="X16" s="161"/>
      <c r="Y16" s="161"/>
      <c r="Z16" s="161"/>
    </row>
    <row r="17" spans="1:26" ht="12.75" customHeight="1" x14ac:dyDescent="0.2">
      <c r="A17" s="651"/>
      <c r="B17" s="666" t="s">
        <v>795</v>
      </c>
      <c r="C17" s="688"/>
      <c r="D17" s="659"/>
      <c r="E17" s="663"/>
      <c r="F17" s="661"/>
      <c r="G17" s="663"/>
      <c r="H17" s="676">
        <f>SUM(H13:H16)</f>
        <v>43083.95</v>
      </c>
      <c r="I17" s="663" t="s">
        <v>740</v>
      </c>
      <c r="J17" s="747">
        <f>SUM(J13:J16)</f>
        <v>827.21183999999994</v>
      </c>
      <c r="K17" s="704" t="s">
        <v>740</v>
      </c>
      <c r="L17" s="747">
        <f>SUM(L13:L16)</f>
        <v>23079.210335999996</v>
      </c>
      <c r="M17" s="161"/>
      <c r="N17" s="161"/>
      <c r="O17" s="161"/>
      <c r="P17" s="161"/>
      <c r="Q17" s="161"/>
      <c r="R17" s="161"/>
      <c r="S17" s="161"/>
      <c r="T17" s="161"/>
      <c r="U17" s="161"/>
      <c r="V17" s="161"/>
      <c r="W17" s="161"/>
      <c r="X17" s="161"/>
      <c r="Y17" s="161"/>
      <c r="Z17" s="161"/>
    </row>
    <row r="18" spans="1:26" ht="12.75" customHeight="1" x14ac:dyDescent="0.2">
      <c r="A18" s="651"/>
      <c r="B18" s="161"/>
      <c r="C18" s="161"/>
      <c r="D18" s="661"/>
      <c r="E18" s="161"/>
      <c r="F18" s="161"/>
      <c r="G18" s="161"/>
      <c r="H18" s="161"/>
      <c r="I18" s="161"/>
      <c r="J18" s="161"/>
      <c r="K18" s="161"/>
      <c r="L18" s="161"/>
      <c r="M18" s="161"/>
      <c r="N18" s="161"/>
      <c r="O18" s="161"/>
      <c r="P18" s="161"/>
      <c r="Q18" s="161"/>
      <c r="R18" s="161"/>
      <c r="S18" s="161"/>
      <c r="T18" s="161"/>
      <c r="U18" s="161"/>
      <c r="V18" s="161"/>
      <c r="W18" s="161"/>
      <c r="X18" s="161"/>
      <c r="Y18" s="161"/>
      <c r="Z18" s="161"/>
    </row>
    <row r="19" spans="1:26" ht="13.5" customHeight="1" x14ac:dyDescent="0.2">
      <c r="A19" s="651"/>
      <c r="B19" s="660" t="s">
        <v>800</v>
      </c>
      <c r="C19" s="749" t="s">
        <v>801</v>
      </c>
      <c r="D19" s="755">
        <f>SUM(D20:D22)</f>
        <v>165105.12009599997</v>
      </c>
      <c r="E19" s="161"/>
      <c r="F19" s="756"/>
      <c r="G19" s="161"/>
      <c r="H19" s="161"/>
      <c r="I19" s="161"/>
      <c r="J19" s="161"/>
      <c r="K19" s="161"/>
      <c r="L19" s="161"/>
      <c r="M19" s="161"/>
      <c r="N19" s="161"/>
      <c r="O19" s="161"/>
      <c r="P19" s="161"/>
      <c r="Q19" s="161"/>
      <c r="R19" s="161"/>
      <c r="S19" s="161"/>
      <c r="T19" s="161"/>
      <c r="U19" s="161"/>
      <c r="V19" s="161"/>
      <c r="W19" s="161"/>
      <c r="X19" s="161"/>
      <c r="Y19" s="161"/>
      <c r="Z19" s="161"/>
    </row>
    <row r="20" spans="1:26" ht="13.5" customHeight="1" x14ac:dyDescent="0.2">
      <c r="A20" s="651"/>
      <c r="B20" s="161"/>
      <c r="C20" s="666" t="s">
        <v>736</v>
      </c>
      <c r="D20" s="763">
        <f>N6</f>
        <v>0</v>
      </c>
      <c r="E20" s="161"/>
      <c r="F20" s="161"/>
      <c r="G20" s="161"/>
      <c r="H20" s="161"/>
      <c r="I20" s="161"/>
      <c r="J20" s="161"/>
      <c r="K20" s="161"/>
      <c r="L20" s="161"/>
      <c r="M20" s="161"/>
      <c r="N20" s="161"/>
      <c r="O20" s="161"/>
      <c r="P20" s="161"/>
      <c r="Q20" s="161"/>
      <c r="R20" s="161"/>
      <c r="S20" s="161"/>
      <c r="T20" s="161"/>
      <c r="U20" s="161"/>
      <c r="V20" s="161"/>
      <c r="W20" s="161"/>
      <c r="X20" s="161"/>
      <c r="Y20" s="161"/>
      <c r="Z20" s="161"/>
    </row>
    <row r="21" spans="1:26" ht="12.75" customHeight="1" x14ac:dyDescent="0.2">
      <c r="A21" s="651"/>
      <c r="B21" s="161"/>
      <c r="C21" s="666" t="s">
        <v>753</v>
      </c>
      <c r="D21" s="777">
        <f>SUM(L9:L10)</f>
        <v>142025.90975999998</v>
      </c>
      <c r="E21" s="161"/>
      <c r="F21" s="779"/>
      <c r="G21" s="161"/>
      <c r="H21" s="161"/>
      <c r="I21" s="161"/>
      <c r="J21" s="161"/>
      <c r="K21" s="161"/>
      <c r="L21" s="161"/>
      <c r="M21" s="161"/>
      <c r="N21" s="161"/>
      <c r="O21" s="161"/>
      <c r="P21" s="161"/>
      <c r="Q21" s="161"/>
      <c r="R21" s="161"/>
      <c r="S21" s="161"/>
      <c r="T21" s="161"/>
      <c r="U21" s="161"/>
      <c r="V21" s="161"/>
      <c r="W21" s="161"/>
      <c r="X21" s="161"/>
      <c r="Y21" s="161"/>
      <c r="Z21" s="161"/>
    </row>
    <row r="22" spans="1:26" ht="12.75" customHeight="1" x14ac:dyDescent="0.2">
      <c r="A22" s="651"/>
      <c r="B22" s="161"/>
      <c r="C22" s="666" t="s">
        <v>775</v>
      </c>
      <c r="D22" s="777">
        <f>L17</f>
        <v>23079.210335999996</v>
      </c>
      <c r="E22" s="161"/>
      <c r="F22" s="779"/>
      <c r="G22" s="161"/>
      <c r="H22" s="779"/>
      <c r="I22" s="161"/>
      <c r="J22" s="161"/>
      <c r="K22" s="161"/>
      <c r="L22" s="161"/>
      <c r="M22" s="161"/>
      <c r="N22" s="161"/>
      <c r="O22" s="161"/>
      <c r="P22" s="161"/>
      <c r="Q22" s="161"/>
      <c r="R22" s="161"/>
      <c r="S22" s="161"/>
      <c r="T22" s="161"/>
      <c r="U22" s="161"/>
      <c r="V22" s="161"/>
      <c r="W22" s="161"/>
      <c r="X22" s="161"/>
      <c r="Y22" s="161"/>
      <c r="Z22" s="161"/>
    </row>
    <row r="23" spans="1:26" ht="12.75" customHeight="1" x14ac:dyDescent="0.2">
      <c r="A23" s="651"/>
      <c r="B23" s="161"/>
      <c r="C23" s="161"/>
      <c r="D23" s="661"/>
      <c r="E23" s="161"/>
      <c r="F23" s="161"/>
      <c r="G23" s="161"/>
      <c r="H23" s="161"/>
      <c r="I23" s="161"/>
      <c r="J23" s="161"/>
      <c r="K23" s="161"/>
      <c r="L23" s="161"/>
      <c r="M23" s="161"/>
      <c r="N23" s="161"/>
      <c r="O23" s="161"/>
      <c r="P23" s="161"/>
      <c r="Q23" s="161"/>
      <c r="R23" s="161"/>
      <c r="S23" s="161"/>
      <c r="T23" s="161"/>
      <c r="U23" s="161"/>
      <c r="V23" s="161"/>
      <c r="W23" s="161"/>
      <c r="X23" s="161"/>
      <c r="Y23" s="161"/>
      <c r="Z23" s="161"/>
    </row>
    <row r="24" spans="1:26" ht="18.75" customHeight="1" x14ac:dyDescent="0.3">
      <c r="A24" s="793"/>
      <c r="B24" s="161"/>
      <c r="C24" s="795"/>
      <c r="D24" s="161"/>
      <c r="E24" s="161"/>
      <c r="F24" s="161"/>
      <c r="G24" s="161"/>
      <c r="H24" s="161"/>
      <c r="I24" s="161"/>
      <c r="J24" s="161"/>
      <c r="K24" s="161"/>
      <c r="L24" s="161"/>
      <c r="M24" s="161"/>
      <c r="N24" s="161"/>
      <c r="O24" s="161"/>
      <c r="P24" s="161"/>
      <c r="Q24" s="161"/>
      <c r="R24" s="161"/>
      <c r="S24" s="161"/>
      <c r="T24" s="161"/>
      <c r="U24" s="161"/>
      <c r="V24" s="161"/>
      <c r="W24" s="161"/>
      <c r="X24" s="161"/>
      <c r="Y24" s="161"/>
      <c r="Z24" s="161"/>
    </row>
    <row r="25" spans="1:26" ht="18.75" customHeight="1" x14ac:dyDescent="0.3">
      <c r="A25" s="793"/>
      <c r="B25" s="798" t="s">
        <v>826</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row>
    <row r="26" spans="1:26" ht="36" customHeight="1" x14ac:dyDescent="0.3">
      <c r="A26" s="793"/>
      <c r="B26" s="801"/>
      <c r="C26" s="161"/>
      <c r="D26" s="803" t="s">
        <v>829</v>
      </c>
      <c r="E26" s="656"/>
      <c r="F26" s="653" t="s">
        <v>831</v>
      </c>
      <c r="G26" s="161"/>
      <c r="H26" s="803" t="s">
        <v>833</v>
      </c>
      <c r="I26" s="805"/>
      <c r="J26" s="803" t="s">
        <v>834</v>
      </c>
      <c r="K26" s="161"/>
      <c r="L26" s="803" t="s">
        <v>835</v>
      </c>
      <c r="M26" s="161"/>
      <c r="N26" s="161"/>
      <c r="O26" s="161"/>
      <c r="P26" s="161"/>
      <c r="Q26" s="161"/>
      <c r="R26" s="161"/>
      <c r="S26" s="161"/>
      <c r="T26" s="161"/>
      <c r="U26" s="161"/>
      <c r="V26" s="161"/>
      <c r="W26" s="161"/>
      <c r="X26" s="161"/>
      <c r="Y26" s="161"/>
      <c r="Z26" s="161"/>
    </row>
    <row r="27" spans="1:26" ht="18.75" customHeight="1" x14ac:dyDescent="0.3">
      <c r="A27" s="793"/>
      <c r="B27" s="161"/>
      <c r="C27" s="806" t="s">
        <v>836</v>
      </c>
      <c r="D27" s="795">
        <v>0.2893143272</v>
      </c>
      <c r="E27" s="663" t="s">
        <v>755</v>
      </c>
      <c r="F27" s="809">
        <v>0.125</v>
      </c>
      <c r="G27" s="663" t="s">
        <v>740</v>
      </c>
      <c r="H27" s="811">
        <f t="shared" ref="H27:H29" si="0">D27*F27*1000*12/44*$Q$9</f>
        <v>275.17737712090906</v>
      </c>
      <c r="I27" s="663" t="s">
        <v>740</v>
      </c>
      <c r="J27" s="811">
        <f t="shared" ref="J27:J29" si="1">D27*F27*1000</f>
        <v>36.164290899999997</v>
      </c>
      <c r="K27" s="663" t="s">
        <v>740</v>
      </c>
      <c r="L27" s="811">
        <f t="shared" ref="L27:L29" si="2">D27*F27*1000*$Q$9</f>
        <v>1008.9837161099999</v>
      </c>
      <c r="M27" s="161"/>
      <c r="N27" s="161"/>
      <c r="O27" s="161"/>
      <c r="P27" s="161"/>
      <c r="Q27" s="161"/>
      <c r="R27" s="161"/>
      <c r="S27" s="161"/>
      <c r="T27" s="161"/>
      <c r="U27" s="161"/>
      <c r="V27" s="161"/>
      <c r="W27" s="161"/>
      <c r="X27" s="161"/>
      <c r="Y27" s="161"/>
      <c r="Z27" s="161"/>
    </row>
    <row r="28" spans="1:26" ht="18.75" customHeight="1" x14ac:dyDescent="0.3">
      <c r="A28" s="793"/>
      <c r="B28" s="161"/>
      <c r="C28" s="806" t="s">
        <v>837</v>
      </c>
      <c r="D28" s="795">
        <v>0.2893143272</v>
      </c>
      <c r="E28" s="663" t="s">
        <v>755</v>
      </c>
      <c r="F28" s="809">
        <v>0.25</v>
      </c>
      <c r="G28" s="663" t="s">
        <v>740</v>
      </c>
      <c r="H28" s="811">
        <f t="shared" si="0"/>
        <v>550.35475424181811</v>
      </c>
      <c r="I28" s="663" t="s">
        <v>740</v>
      </c>
      <c r="J28" s="811">
        <f t="shared" si="1"/>
        <v>72.328581799999995</v>
      </c>
      <c r="K28" s="663" t="s">
        <v>740</v>
      </c>
      <c r="L28" s="811">
        <f t="shared" si="2"/>
        <v>2017.9674322199999</v>
      </c>
      <c r="M28" s="161"/>
      <c r="N28" s="161"/>
      <c r="O28" s="161"/>
      <c r="P28" s="161"/>
      <c r="Q28" s="161"/>
      <c r="R28" s="161"/>
      <c r="S28" s="161"/>
      <c r="T28" s="161"/>
      <c r="U28" s="161"/>
      <c r="V28" s="161"/>
      <c r="W28" s="161"/>
      <c r="X28" s="161"/>
      <c r="Y28" s="161"/>
      <c r="Z28" s="161"/>
    </row>
    <row r="29" spans="1:26" ht="18.75" customHeight="1" x14ac:dyDescent="0.3">
      <c r="A29" s="793"/>
      <c r="B29" s="161"/>
      <c r="C29" s="806" t="s">
        <v>838</v>
      </c>
      <c r="D29" s="795">
        <v>0.2893143272</v>
      </c>
      <c r="E29" s="663" t="s">
        <v>755</v>
      </c>
      <c r="F29" s="809">
        <v>0.625</v>
      </c>
      <c r="G29" s="663" t="s">
        <v>740</v>
      </c>
      <c r="H29" s="811">
        <f t="shared" si="0"/>
        <v>1375.8868856045453</v>
      </c>
      <c r="I29" s="663" t="s">
        <v>740</v>
      </c>
      <c r="J29" s="811">
        <f t="shared" si="1"/>
        <v>180.82145450000002</v>
      </c>
      <c r="K29" s="663" t="s">
        <v>740</v>
      </c>
      <c r="L29" s="811">
        <f t="shared" si="2"/>
        <v>5044.9185805500001</v>
      </c>
      <c r="M29" s="161"/>
      <c r="N29" s="161"/>
      <c r="O29" s="161"/>
      <c r="P29" s="161"/>
      <c r="Q29" s="161"/>
      <c r="R29" s="161"/>
      <c r="S29" s="161"/>
      <c r="T29" s="161"/>
      <c r="U29" s="161"/>
      <c r="V29" s="161"/>
      <c r="W29" s="161"/>
      <c r="X29" s="161"/>
      <c r="Y29" s="161"/>
      <c r="Z29" s="161"/>
    </row>
    <row r="30" spans="1:26" ht="18.75" customHeight="1" x14ac:dyDescent="0.3">
      <c r="A30" s="793"/>
      <c r="B30" s="801"/>
      <c r="C30" s="795"/>
      <c r="D30" s="161"/>
      <c r="E30" s="161"/>
      <c r="F30" s="161"/>
      <c r="G30" s="161"/>
      <c r="H30" s="161"/>
      <c r="I30" s="161"/>
      <c r="J30" s="161"/>
      <c r="K30" s="161"/>
      <c r="L30" s="161"/>
      <c r="M30" s="161"/>
      <c r="N30" s="161"/>
      <c r="O30" s="161"/>
      <c r="P30" s="161"/>
      <c r="Q30" s="161"/>
      <c r="R30" s="161"/>
      <c r="S30" s="161"/>
      <c r="T30" s="161"/>
      <c r="U30" s="161"/>
      <c r="V30" s="161"/>
      <c r="W30" s="161"/>
      <c r="X30" s="161"/>
      <c r="Y30" s="161"/>
      <c r="Z30" s="161"/>
    </row>
    <row r="31" spans="1:26" ht="18.75" customHeight="1" x14ac:dyDescent="0.3">
      <c r="A31" s="793"/>
      <c r="B31" s="801"/>
      <c r="C31" s="795"/>
      <c r="D31" s="161"/>
      <c r="E31" s="161"/>
      <c r="F31" s="161"/>
      <c r="G31" s="161"/>
      <c r="H31" s="161"/>
      <c r="I31" s="161"/>
      <c r="J31" s="161"/>
      <c r="K31" s="161"/>
      <c r="L31" s="161"/>
      <c r="M31" s="161"/>
      <c r="N31" s="161"/>
      <c r="O31" s="161"/>
      <c r="P31" s="161"/>
      <c r="Q31" s="161"/>
      <c r="R31" s="161"/>
      <c r="S31" s="161"/>
      <c r="T31" s="161"/>
      <c r="U31" s="161"/>
      <c r="V31" s="161"/>
      <c r="W31" s="161"/>
      <c r="X31" s="161"/>
      <c r="Y31" s="161"/>
      <c r="Z31" s="161"/>
    </row>
    <row r="32" spans="1:26" ht="19.5" customHeight="1" x14ac:dyDescent="0.3">
      <c r="A32" s="793"/>
      <c r="B32" s="798" t="s">
        <v>839</v>
      </c>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Z32" s="161"/>
    </row>
    <row r="33" spans="1:26" ht="19.5" customHeight="1" x14ac:dyDescent="0.3">
      <c r="A33" s="793"/>
      <c r="B33" s="832" t="s">
        <v>840</v>
      </c>
      <c r="C33" s="833"/>
      <c r="D33" s="161"/>
      <c r="E33" s="161"/>
      <c r="F33" s="161"/>
      <c r="G33" s="161"/>
      <c r="H33" s="161"/>
      <c r="I33" s="161"/>
      <c r="J33" s="161"/>
      <c r="K33" s="161"/>
      <c r="L33" s="161"/>
      <c r="M33" s="161"/>
      <c r="N33" s="161"/>
      <c r="O33" s="161"/>
      <c r="P33" s="161"/>
      <c r="Q33" s="161"/>
      <c r="R33" s="161"/>
      <c r="S33" s="161"/>
      <c r="T33" s="161"/>
      <c r="U33" s="161"/>
      <c r="V33" s="161"/>
      <c r="W33" s="161"/>
      <c r="X33" s="161"/>
      <c r="Y33" s="161"/>
      <c r="Z33" s="161"/>
    </row>
    <row r="34" spans="1:26" ht="19.5" customHeight="1" x14ac:dyDescent="0.3">
      <c r="A34" s="793"/>
      <c r="B34" s="832"/>
      <c r="C34" s="835">
        <v>2006</v>
      </c>
      <c r="D34" s="161"/>
      <c r="E34" s="161"/>
      <c r="F34" s="161"/>
      <c r="G34" s="161"/>
      <c r="H34" s="161"/>
      <c r="I34" s="161"/>
      <c r="J34" s="161"/>
      <c r="K34" s="161"/>
      <c r="L34" s="161"/>
      <c r="M34" s="161"/>
      <c r="N34" s="161"/>
      <c r="O34" s="161"/>
      <c r="P34" s="161"/>
      <c r="Q34" s="161"/>
      <c r="R34" s="161"/>
      <c r="S34" s="161"/>
      <c r="T34" s="161"/>
      <c r="U34" s="161"/>
      <c r="V34" s="161"/>
      <c r="W34" s="161"/>
      <c r="X34" s="161"/>
      <c r="Y34" s="161"/>
      <c r="Z34" s="161"/>
    </row>
    <row r="35" spans="1:26" ht="18.75" customHeight="1" x14ac:dyDescent="0.3">
      <c r="A35" s="793"/>
      <c r="B35" s="837" t="s">
        <v>334</v>
      </c>
      <c r="C35" s="840">
        <f>D19/1000000</f>
        <v>0.16510512009599998</v>
      </c>
      <c r="D35" s="841"/>
      <c r="E35" s="161"/>
      <c r="F35" s="161"/>
      <c r="G35" s="161"/>
      <c r="H35" s="161"/>
      <c r="I35" s="161"/>
      <c r="J35" s="161"/>
      <c r="K35" s="161"/>
      <c r="L35" s="161"/>
      <c r="M35" s="161"/>
      <c r="N35" s="161"/>
      <c r="O35" s="161"/>
      <c r="P35" s="161"/>
      <c r="Q35" s="161"/>
      <c r="R35" s="161"/>
      <c r="S35" s="161"/>
      <c r="T35" s="161"/>
      <c r="U35" s="161"/>
      <c r="V35" s="161"/>
      <c r="W35" s="161"/>
      <c r="X35" s="161"/>
      <c r="Y35" s="161"/>
      <c r="Z35" s="161"/>
    </row>
    <row r="36" spans="1:26" ht="18.75" customHeight="1" x14ac:dyDescent="0.3">
      <c r="A36" s="793"/>
      <c r="B36" s="837" t="s">
        <v>842</v>
      </c>
      <c r="C36" s="840">
        <f>SUM(C37:C39)</f>
        <v>8.0718697288800004E-3</v>
      </c>
      <c r="D36" s="842"/>
      <c r="E36" s="161"/>
      <c r="F36" s="161"/>
      <c r="G36" s="161"/>
      <c r="H36" s="161"/>
      <c r="I36" s="161"/>
      <c r="J36" s="161"/>
      <c r="K36" s="161"/>
      <c r="L36" s="161"/>
      <c r="M36" s="161"/>
      <c r="N36" s="161"/>
      <c r="O36" s="161"/>
      <c r="P36" s="161"/>
      <c r="Q36" s="161"/>
      <c r="R36" s="161"/>
      <c r="S36" s="161"/>
      <c r="T36" s="161"/>
      <c r="U36" s="161"/>
      <c r="V36" s="161"/>
      <c r="W36" s="161"/>
      <c r="X36" s="161"/>
      <c r="Y36" s="161"/>
      <c r="Z36" s="161"/>
    </row>
    <row r="37" spans="1:26" ht="18.75" customHeight="1" x14ac:dyDescent="0.3">
      <c r="A37" s="793"/>
      <c r="B37" s="843" t="s">
        <v>836</v>
      </c>
      <c r="C37" s="840">
        <f t="shared" ref="C37:C39" si="3">L27/1000000</f>
        <v>1.0089837161099998E-3</v>
      </c>
      <c r="D37" s="842"/>
      <c r="E37" s="161"/>
      <c r="F37" s="161"/>
      <c r="G37" s="161"/>
      <c r="H37" s="161"/>
      <c r="I37" s="161"/>
      <c r="J37" s="161"/>
      <c r="K37" s="161"/>
      <c r="L37" s="161"/>
      <c r="M37" s="161"/>
      <c r="N37" s="161"/>
      <c r="O37" s="161"/>
      <c r="P37" s="161"/>
      <c r="Q37" s="161"/>
      <c r="R37" s="161"/>
      <c r="S37" s="161"/>
      <c r="T37" s="161"/>
      <c r="U37" s="161"/>
      <c r="V37" s="161"/>
      <c r="W37" s="161"/>
      <c r="X37" s="161"/>
      <c r="Y37" s="161"/>
      <c r="Z37" s="161"/>
    </row>
    <row r="38" spans="1:26" ht="18.75" customHeight="1" x14ac:dyDescent="0.3">
      <c r="A38" s="793"/>
      <c r="B38" s="843" t="s">
        <v>837</v>
      </c>
      <c r="C38" s="840">
        <f t="shared" si="3"/>
        <v>2.0179674322199997E-3</v>
      </c>
      <c r="D38" s="842"/>
      <c r="E38" s="161"/>
      <c r="F38" s="161"/>
      <c r="G38" s="161"/>
      <c r="H38" s="161"/>
      <c r="I38" s="161"/>
      <c r="J38" s="161"/>
      <c r="K38" s="161"/>
      <c r="L38" s="161"/>
      <c r="M38" s="161"/>
      <c r="N38" s="161"/>
      <c r="O38" s="161"/>
      <c r="P38" s="161"/>
      <c r="Q38" s="161"/>
      <c r="R38" s="161"/>
      <c r="S38" s="161"/>
      <c r="T38" s="161"/>
      <c r="U38" s="161"/>
      <c r="V38" s="161"/>
      <c r="W38" s="161"/>
      <c r="X38" s="161"/>
      <c r="Y38" s="161"/>
      <c r="Z38" s="161"/>
    </row>
    <row r="39" spans="1:26" ht="18.75" customHeight="1" x14ac:dyDescent="0.3">
      <c r="A39" s="793"/>
      <c r="B39" s="843" t="s">
        <v>838</v>
      </c>
      <c r="C39" s="840">
        <f t="shared" si="3"/>
        <v>5.0449185805500002E-3</v>
      </c>
      <c r="D39" s="842"/>
      <c r="E39" s="161"/>
      <c r="F39" s="161"/>
      <c r="G39" s="161"/>
      <c r="H39" s="161"/>
      <c r="I39" s="161"/>
      <c r="J39" s="161"/>
      <c r="K39" s="161"/>
      <c r="L39" s="161"/>
      <c r="M39" s="161"/>
      <c r="N39" s="161"/>
      <c r="O39" s="161"/>
      <c r="P39" s="161"/>
      <c r="Q39" s="161"/>
      <c r="R39" s="161"/>
      <c r="S39" s="161"/>
      <c r="T39" s="161"/>
      <c r="U39" s="161"/>
      <c r="V39" s="161"/>
      <c r="W39" s="161"/>
      <c r="X39" s="161"/>
      <c r="Y39" s="161"/>
      <c r="Z39" s="161"/>
    </row>
    <row r="40" spans="1:26" ht="19.5" customHeight="1" x14ac:dyDescent="0.3">
      <c r="A40" s="793"/>
      <c r="B40" s="844"/>
      <c r="C40" s="845"/>
      <c r="D40" s="161"/>
      <c r="E40" s="161"/>
      <c r="F40" s="161"/>
      <c r="G40" s="161"/>
      <c r="H40" s="161"/>
      <c r="I40" s="161"/>
      <c r="J40" s="161"/>
      <c r="K40" s="161"/>
      <c r="L40" s="161"/>
      <c r="M40" s="161"/>
      <c r="N40" s="161"/>
      <c r="O40" s="161"/>
      <c r="P40" s="161"/>
      <c r="Q40" s="161"/>
      <c r="R40" s="161"/>
      <c r="S40" s="161"/>
      <c r="T40" s="161"/>
      <c r="U40" s="161"/>
      <c r="V40" s="161"/>
      <c r="W40" s="161"/>
      <c r="X40" s="161"/>
      <c r="Y40" s="161"/>
      <c r="Z40" s="161"/>
    </row>
    <row r="41" spans="1:26" ht="18.75" customHeight="1" x14ac:dyDescent="0.3">
      <c r="A41" s="793"/>
      <c r="B41" s="801"/>
      <c r="C41" s="795"/>
      <c r="D41" s="161"/>
      <c r="E41" s="161"/>
      <c r="F41" s="161"/>
      <c r="G41" s="161"/>
      <c r="H41" s="161"/>
      <c r="I41" s="161"/>
      <c r="J41" s="161"/>
      <c r="K41" s="161"/>
      <c r="L41" s="161"/>
      <c r="M41" s="161"/>
      <c r="N41" s="161"/>
      <c r="O41" s="161"/>
      <c r="P41" s="161"/>
      <c r="Q41" s="161"/>
      <c r="R41" s="161"/>
      <c r="S41" s="161"/>
      <c r="T41" s="161"/>
      <c r="U41" s="161"/>
      <c r="V41" s="161"/>
      <c r="W41" s="161"/>
      <c r="X41" s="161"/>
      <c r="Y41" s="161"/>
      <c r="Z41" s="161"/>
    </row>
    <row r="42" spans="1:26" ht="19.5" customHeight="1" x14ac:dyDescent="0.3">
      <c r="A42" s="793"/>
      <c r="B42" s="801"/>
      <c r="C42" s="795"/>
      <c r="D42" s="161"/>
      <c r="E42" s="161"/>
      <c r="F42" s="161"/>
      <c r="G42" s="161"/>
      <c r="H42" s="161"/>
      <c r="I42" s="161"/>
      <c r="J42" s="161"/>
      <c r="K42" s="161"/>
      <c r="L42" s="161"/>
      <c r="M42" s="161"/>
      <c r="N42" s="161"/>
      <c r="O42" s="161"/>
      <c r="P42" s="161"/>
      <c r="Q42" s="161"/>
      <c r="R42" s="161"/>
      <c r="S42" s="161"/>
      <c r="T42" s="161"/>
      <c r="U42" s="161"/>
      <c r="V42" s="161"/>
      <c r="W42" s="161"/>
      <c r="X42" s="161"/>
      <c r="Y42" s="161"/>
      <c r="Z42" s="161"/>
    </row>
    <row r="43" spans="1:26" ht="12" customHeight="1" x14ac:dyDescent="0.2">
      <c r="A43" s="161"/>
      <c r="B43" s="832" t="s">
        <v>846</v>
      </c>
      <c r="C43" s="833"/>
      <c r="D43" s="161"/>
      <c r="E43" s="161"/>
      <c r="F43" s="161"/>
      <c r="G43" s="161"/>
      <c r="H43" s="161"/>
      <c r="I43" s="161"/>
      <c r="J43" s="161"/>
      <c r="K43" s="161"/>
      <c r="L43" s="161"/>
      <c r="M43" s="161"/>
      <c r="N43" s="161"/>
      <c r="O43" s="161"/>
      <c r="P43" s="161"/>
      <c r="Q43" s="161"/>
      <c r="R43" s="161"/>
      <c r="S43" s="161"/>
      <c r="T43" s="161"/>
      <c r="U43" s="161"/>
      <c r="V43" s="161"/>
      <c r="W43" s="161"/>
      <c r="X43" s="161"/>
      <c r="Y43" s="161"/>
      <c r="Z43" s="161"/>
    </row>
    <row r="44" spans="1:26" ht="12" customHeight="1" x14ac:dyDescent="0.2">
      <c r="A44" s="161"/>
      <c r="B44" s="832"/>
      <c r="C44" s="835">
        <v>2006</v>
      </c>
      <c r="D44" s="161"/>
      <c r="E44" s="161"/>
      <c r="F44" s="161"/>
      <c r="G44" s="161"/>
      <c r="H44" s="161"/>
      <c r="I44" s="161"/>
      <c r="J44" s="161"/>
      <c r="K44" s="161"/>
      <c r="L44" s="161"/>
      <c r="M44" s="161"/>
      <c r="N44" s="161"/>
      <c r="O44" s="161"/>
      <c r="P44" s="161"/>
      <c r="Q44" s="161"/>
      <c r="R44" s="161"/>
      <c r="S44" s="161"/>
      <c r="T44" s="161"/>
      <c r="U44" s="161"/>
      <c r="V44" s="161"/>
      <c r="W44" s="161"/>
      <c r="X44" s="161"/>
      <c r="Y44" s="161"/>
      <c r="Z44" s="161"/>
    </row>
    <row r="45" spans="1:26" ht="11.25" customHeight="1" x14ac:dyDescent="0.2">
      <c r="A45" s="161"/>
      <c r="B45" s="837" t="s">
        <v>334</v>
      </c>
      <c r="C45" s="846">
        <f>D19</f>
        <v>165105.12009599997</v>
      </c>
      <c r="D45" s="161"/>
      <c r="E45" s="161"/>
      <c r="F45" s="161"/>
      <c r="G45" s="161"/>
      <c r="H45" s="161"/>
      <c r="I45" s="161"/>
      <c r="J45" s="161"/>
      <c r="K45" s="161"/>
      <c r="L45" s="161"/>
      <c r="M45" s="161"/>
      <c r="N45" s="161"/>
      <c r="O45" s="161"/>
      <c r="P45" s="161"/>
      <c r="Q45" s="161"/>
      <c r="R45" s="161"/>
      <c r="S45" s="161"/>
      <c r="T45" s="161"/>
      <c r="U45" s="161"/>
      <c r="V45" s="161"/>
      <c r="W45" s="161"/>
      <c r="X45" s="161"/>
      <c r="Y45" s="161"/>
      <c r="Z45" s="161"/>
    </row>
    <row r="46" spans="1:26" ht="11.25" customHeight="1" x14ac:dyDescent="0.2">
      <c r="A46" s="161"/>
      <c r="B46" s="837" t="s">
        <v>842</v>
      </c>
      <c r="C46" s="846">
        <f>SUM(C47:C49)</f>
        <v>8071.8697288799995</v>
      </c>
      <c r="D46" s="161"/>
      <c r="E46" s="161"/>
      <c r="F46" s="161"/>
      <c r="G46" s="161"/>
      <c r="H46" s="161"/>
      <c r="I46" s="161"/>
      <c r="J46" s="161"/>
      <c r="K46" s="161"/>
      <c r="L46" s="161"/>
      <c r="M46" s="161"/>
      <c r="N46" s="161"/>
      <c r="O46" s="161"/>
      <c r="P46" s="161"/>
      <c r="Q46" s="161"/>
      <c r="R46" s="161"/>
      <c r="S46" s="161"/>
      <c r="T46" s="161"/>
      <c r="U46" s="161"/>
      <c r="V46" s="161"/>
      <c r="W46" s="161"/>
      <c r="X46" s="161"/>
      <c r="Y46" s="161"/>
      <c r="Z46" s="161"/>
    </row>
    <row r="47" spans="1:26" ht="11.25" customHeight="1" x14ac:dyDescent="0.2">
      <c r="A47" s="161"/>
      <c r="B47" s="843" t="s">
        <v>836</v>
      </c>
      <c r="C47" s="846">
        <f t="shared" ref="C47:C49" si="4">L27</f>
        <v>1008.9837161099999</v>
      </c>
      <c r="D47" s="161"/>
      <c r="E47" s="161"/>
      <c r="F47" s="161"/>
      <c r="G47" s="161"/>
      <c r="H47" s="161"/>
      <c r="I47" s="161"/>
      <c r="J47" s="161"/>
      <c r="K47" s="161"/>
      <c r="L47" s="161"/>
      <c r="M47" s="161"/>
      <c r="N47" s="161"/>
      <c r="O47" s="161"/>
      <c r="P47" s="161"/>
      <c r="Q47" s="161"/>
      <c r="R47" s="161"/>
      <c r="S47" s="161"/>
      <c r="T47" s="161"/>
      <c r="U47" s="161"/>
      <c r="V47" s="161"/>
      <c r="W47" s="161"/>
      <c r="X47" s="161"/>
      <c r="Y47" s="161"/>
      <c r="Z47" s="161"/>
    </row>
    <row r="48" spans="1:26" ht="11.25" customHeight="1" x14ac:dyDescent="0.2">
      <c r="A48" s="161"/>
      <c r="B48" s="843" t="s">
        <v>837</v>
      </c>
      <c r="C48" s="846">
        <f t="shared" si="4"/>
        <v>2017.9674322199999</v>
      </c>
      <c r="D48" s="161"/>
      <c r="E48" s="161"/>
      <c r="F48" s="161"/>
      <c r="G48" s="161"/>
      <c r="H48" s="161"/>
      <c r="I48" s="161"/>
      <c r="J48" s="161"/>
      <c r="K48" s="161"/>
      <c r="L48" s="161"/>
      <c r="M48" s="161"/>
      <c r="N48" s="161"/>
      <c r="O48" s="161"/>
      <c r="P48" s="161"/>
      <c r="Q48" s="161"/>
      <c r="R48" s="161"/>
      <c r="S48" s="161"/>
      <c r="T48" s="161"/>
      <c r="U48" s="161"/>
      <c r="V48" s="161"/>
      <c r="W48" s="161"/>
      <c r="X48" s="161"/>
      <c r="Y48" s="161"/>
      <c r="Z48" s="161"/>
    </row>
    <row r="49" spans="1:26" ht="11.25" customHeight="1" x14ac:dyDescent="0.2">
      <c r="A49" s="161"/>
      <c r="B49" s="843" t="s">
        <v>838</v>
      </c>
      <c r="C49" s="846">
        <f t="shared" si="4"/>
        <v>5044.9185805500001</v>
      </c>
      <c r="D49" s="161"/>
      <c r="E49" s="161"/>
      <c r="F49" s="161"/>
      <c r="G49" s="161"/>
      <c r="H49" s="161"/>
      <c r="I49" s="161"/>
      <c r="J49" s="161"/>
      <c r="K49" s="161"/>
      <c r="L49" s="161"/>
      <c r="M49" s="161"/>
      <c r="N49" s="161"/>
      <c r="O49" s="161"/>
      <c r="P49" s="161"/>
      <c r="Q49" s="161"/>
      <c r="R49" s="161"/>
      <c r="S49" s="161"/>
      <c r="T49" s="161"/>
      <c r="U49" s="161"/>
      <c r="V49" s="161"/>
      <c r="W49" s="161"/>
      <c r="X49" s="161"/>
      <c r="Y49" s="161"/>
      <c r="Z49" s="161"/>
    </row>
    <row r="50" spans="1:26" ht="12" customHeight="1" x14ac:dyDescent="0.2">
      <c r="A50" s="161"/>
      <c r="B50" s="848"/>
      <c r="C50" s="849"/>
      <c r="D50" s="161"/>
      <c r="E50" s="161"/>
      <c r="F50" s="161"/>
      <c r="G50" s="161"/>
      <c r="H50" s="161"/>
      <c r="I50" s="161"/>
      <c r="J50" s="161"/>
      <c r="K50" s="161"/>
      <c r="L50" s="161"/>
      <c r="M50" s="161"/>
      <c r="N50" s="161"/>
      <c r="O50" s="161"/>
      <c r="P50" s="161"/>
      <c r="Q50" s="161"/>
      <c r="R50" s="161"/>
      <c r="S50" s="161"/>
      <c r="T50" s="161"/>
      <c r="U50" s="161"/>
      <c r="V50" s="161"/>
      <c r="W50" s="161"/>
      <c r="X50" s="161"/>
      <c r="Y50" s="161"/>
      <c r="Z50" s="161"/>
    </row>
    <row r="51" spans="1:26" ht="12" customHeight="1" x14ac:dyDescent="0.2">
      <c r="A51" s="161"/>
      <c r="B51" s="832" t="s">
        <v>850</v>
      </c>
      <c r="C51" s="851">
        <v>2006</v>
      </c>
      <c r="D51" s="161"/>
      <c r="E51" s="161"/>
      <c r="F51" s="161"/>
      <c r="G51" s="161"/>
      <c r="H51" s="161"/>
      <c r="I51" s="161"/>
      <c r="J51" s="161"/>
      <c r="K51" s="161"/>
      <c r="L51" s="161"/>
      <c r="M51" s="161"/>
      <c r="N51" s="161"/>
      <c r="O51" s="161"/>
      <c r="P51" s="161"/>
      <c r="Q51" s="161"/>
      <c r="R51" s="161"/>
      <c r="S51" s="161"/>
      <c r="T51" s="161"/>
      <c r="U51" s="161"/>
      <c r="V51" s="161"/>
      <c r="W51" s="161"/>
      <c r="X51" s="161"/>
      <c r="Y51" s="161"/>
      <c r="Z51" s="161"/>
    </row>
    <row r="52" spans="1:26" ht="11.25" customHeight="1" x14ac:dyDescent="0.2">
      <c r="A52" s="161"/>
      <c r="B52" s="837" t="s">
        <v>334</v>
      </c>
      <c r="C52" s="846">
        <f>C45*12/44</f>
        <v>45028.669117090903</v>
      </c>
      <c r="D52" s="756"/>
      <c r="E52" s="161"/>
      <c r="F52" s="161"/>
      <c r="G52" s="161"/>
      <c r="H52" s="161"/>
      <c r="I52" s="161"/>
      <c r="J52" s="161"/>
      <c r="K52" s="161"/>
      <c r="L52" s="161"/>
      <c r="M52" s="161"/>
      <c r="N52" s="161"/>
      <c r="O52" s="161"/>
      <c r="P52" s="161"/>
      <c r="Q52" s="161"/>
      <c r="R52" s="161"/>
      <c r="S52" s="161"/>
      <c r="T52" s="161"/>
      <c r="U52" s="161"/>
      <c r="V52" s="161"/>
      <c r="W52" s="161"/>
      <c r="X52" s="161"/>
      <c r="Y52" s="161"/>
      <c r="Z52" s="161"/>
    </row>
    <row r="53" spans="1:26" ht="11.25" customHeight="1" x14ac:dyDescent="0.2">
      <c r="A53" s="161"/>
      <c r="B53" s="837" t="s">
        <v>842</v>
      </c>
      <c r="C53" s="846">
        <f>SUM(C54:C56)</f>
        <v>2201.4190169672725</v>
      </c>
      <c r="D53" s="161"/>
      <c r="E53" s="161"/>
      <c r="F53" s="161"/>
      <c r="G53" s="161"/>
      <c r="H53" s="161"/>
      <c r="I53" s="161"/>
      <c r="J53" s="161"/>
      <c r="K53" s="161"/>
      <c r="L53" s="161"/>
      <c r="M53" s="161"/>
      <c r="N53" s="161"/>
      <c r="O53" s="161"/>
      <c r="P53" s="161"/>
      <c r="Q53" s="161"/>
      <c r="R53" s="161"/>
      <c r="S53" s="161"/>
      <c r="T53" s="161"/>
      <c r="U53" s="161"/>
      <c r="V53" s="161"/>
      <c r="W53" s="161"/>
      <c r="X53" s="161"/>
      <c r="Y53" s="161"/>
      <c r="Z53" s="161"/>
    </row>
    <row r="54" spans="1:26" ht="11.25" customHeight="1" x14ac:dyDescent="0.2">
      <c r="A54" s="161"/>
      <c r="B54" s="843" t="s">
        <v>836</v>
      </c>
      <c r="C54" s="846">
        <f t="shared" ref="C54:C56" si="5">H27</f>
        <v>275.17737712090906</v>
      </c>
      <c r="D54" s="756"/>
      <c r="E54" s="161"/>
      <c r="F54" s="161"/>
      <c r="G54" s="161"/>
      <c r="H54" s="161"/>
      <c r="I54" s="161"/>
      <c r="J54" s="161"/>
      <c r="K54" s="161"/>
      <c r="L54" s="161"/>
      <c r="M54" s="161"/>
      <c r="N54" s="161"/>
      <c r="O54" s="161"/>
      <c r="P54" s="161"/>
      <c r="Q54" s="161"/>
      <c r="R54" s="161"/>
      <c r="S54" s="161"/>
      <c r="T54" s="161"/>
      <c r="U54" s="161"/>
      <c r="V54" s="161"/>
      <c r="W54" s="161"/>
      <c r="X54" s="161"/>
      <c r="Y54" s="161"/>
      <c r="Z54" s="161"/>
    </row>
    <row r="55" spans="1:26" ht="11.25" customHeight="1" x14ac:dyDescent="0.2">
      <c r="A55" s="161"/>
      <c r="B55" s="843" t="s">
        <v>837</v>
      </c>
      <c r="C55" s="846">
        <f t="shared" si="5"/>
        <v>550.35475424181811</v>
      </c>
      <c r="D55" s="756"/>
      <c r="E55" s="161"/>
      <c r="F55" s="161"/>
      <c r="G55" s="161"/>
      <c r="H55" s="161"/>
      <c r="I55" s="161"/>
      <c r="J55" s="161"/>
      <c r="K55" s="161"/>
      <c r="L55" s="161"/>
      <c r="M55" s="161"/>
      <c r="N55" s="161"/>
      <c r="O55" s="161"/>
      <c r="P55" s="161"/>
      <c r="Q55" s="161"/>
      <c r="R55" s="161"/>
      <c r="S55" s="161"/>
      <c r="T55" s="161"/>
      <c r="U55" s="161"/>
      <c r="V55" s="161"/>
      <c r="W55" s="161"/>
      <c r="X55" s="161"/>
      <c r="Y55" s="161"/>
      <c r="Z55" s="161"/>
    </row>
    <row r="56" spans="1:26" ht="11.25" customHeight="1" x14ac:dyDescent="0.2">
      <c r="A56" s="161"/>
      <c r="B56" s="843" t="s">
        <v>838</v>
      </c>
      <c r="C56" s="846">
        <f t="shared" si="5"/>
        <v>1375.8868856045453</v>
      </c>
      <c r="D56" s="756"/>
      <c r="E56" s="161"/>
      <c r="F56" s="161"/>
      <c r="G56" s="161"/>
      <c r="H56" s="161"/>
      <c r="I56" s="161"/>
      <c r="J56" s="161"/>
      <c r="K56" s="161"/>
      <c r="L56" s="161"/>
      <c r="M56" s="161"/>
      <c r="N56" s="161"/>
      <c r="O56" s="161"/>
      <c r="P56" s="161"/>
      <c r="Q56" s="161"/>
      <c r="R56" s="161"/>
      <c r="S56" s="161"/>
      <c r="T56" s="161"/>
      <c r="U56" s="161"/>
      <c r="V56" s="161"/>
      <c r="W56" s="161"/>
      <c r="X56" s="161"/>
      <c r="Y56" s="161"/>
      <c r="Z56" s="161"/>
    </row>
    <row r="57" spans="1:26" ht="12" customHeight="1" x14ac:dyDescent="0.2">
      <c r="A57" s="161"/>
      <c r="B57" s="848"/>
      <c r="C57" s="849"/>
      <c r="D57" s="161"/>
      <c r="E57" s="161"/>
      <c r="F57" s="161"/>
      <c r="G57" s="161"/>
      <c r="H57" s="161"/>
      <c r="I57" s="161"/>
      <c r="J57" s="161"/>
      <c r="K57" s="161"/>
      <c r="L57" s="161"/>
      <c r="M57" s="161"/>
      <c r="N57" s="161"/>
      <c r="O57" s="161"/>
      <c r="P57" s="161"/>
      <c r="Q57" s="161"/>
      <c r="R57" s="161"/>
      <c r="S57" s="161"/>
      <c r="T57" s="161"/>
      <c r="U57" s="161"/>
      <c r="V57" s="161"/>
      <c r="W57" s="161"/>
      <c r="X57" s="161"/>
      <c r="Y57" s="161"/>
      <c r="Z57" s="161"/>
    </row>
    <row r="58" spans="1:26" ht="12" customHeight="1" x14ac:dyDescent="0.2">
      <c r="A58" s="161"/>
      <c r="B58" s="832" t="s">
        <v>860</v>
      </c>
      <c r="C58" s="851">
        <v>2006</v>
      </c>
      <c r="D58" s="161"/>
      <c r="E58" s="161"/>
      <c r="F58" s="161"/>
      <c r="G58" s="161"/>
      <c r="H58" s="161"/>
      <c r="I58" s="161"/>
      <c r="J58" s="161"/>
      <c r="K58" s="161"/>
      <c r="L58" s="161"/>
      <c r="M58" s="161"/>
      <c r="N58" s="161"/>
      <c r="O58" s="161"/>
      <c r="P58" s="161"/>
      <c r="Q58" s="161"/>
      <c r="R58" s="161"/>
      <c r="S58" s="161"/>
      <c r="T58" s="161"/>
      <c r="U58" s="161"/>
      <c r="V58" s="161"/>
      <c r="W58" s="161"/>
      <c r="X58" s="161"/>
      <c r="Y58" s="161"/>
      <c r="Z58" s="161"/>
    </row>
    <row r="59" spans="1:26" ht="11.25" customHeight="1" x14ac:dyDescent="0.2">
      <c r="A59" s="161"/>
      <c r="B59" s="837" t="s">
        <v>334</v>
      </c>
      <c r="C59" s="846">
        <f>C45/21</f>
        <v>7862.1485759999987</v>
      </c>
      <c r="D59" s="161"/>
      <c r="E59" s="161"/>
      <c r="F59" s="161"/>
      <c r="G59" s="161"/>
      <c r="H59" s="161"/>
      <c r="I59" s="161"/>
      <c r="J59" s="161"/>
      <c r="K59" s="161"/>
      <c r="L59" s="161"/>
      <c r="M59" s="161"/>
      <c r="N59" s="161"/>
      <c r="O59" s="161"/>
      <c r="P59" s="161"/>
      <c r="Q59" s="161"/>
      <c r="R59" s="161"/>
      <c r="S59" s="161"/>
      <c r="T59" s="161"/>
      <c r="U59" s="161"/>
      <c r="V59" s="161"/>
      <c r="W59" s="161"/>
      <c r="X59" s="161"/>
      <c r="Y59" s="161"/>
      <c r="Z59" s="161"/>
    </row>
    <row r="60" spans="1:26" ht="11.25" customHeight="1" x14ac:dyDescent="0.2">
      <c r="A60" s="161"/>
      <c r="B60" s="837" t="s">
        <v>842</v>
      </c>
      <c r="C60" s="846">
        <f>SUM(C61:C63)</f>
        <v>289.31432719999998</v>
      </c>
      <c r="D60" s="161"/>
      <c r="E60" s="161"/>
      <c r="F60" s="161"/>
      <c r="G60" s="161"/>
      <c r="H60" s="161"/>
      <c r="I60" s="161"/>
      <c r="J60" s="161"/>
      <c r="K60" s="161"/>
      <c r="L60" s="161"/>
      <c r="M60" s="161"/>
      <c r="N60" s="161"/>
      <c r="O60" s="161"/>
      <c r="P60" s="161"/>
      <c r="Q60" s="161"/>
      <c r="R60" s="161"/>
      <c r="S60" s="161"/>
      <c r="T60" s="161"/>
      <c r="U60" s="161"/>
      <c r="V60" s="161"/>
      <c r="W60" s="161"/>
      <c r="X60" s="161"/>
      <c r="Y60" s="161"/>
      <c r="Z60" s="161"/>
    </row>
    <row r="61" spans="1:26" ht="11.25" customHeight="1" x14ac:dyDescent="0.2">
      <c r="A61" s="161"/>
      <c r="B61" s="843" t="s">
        <v>836</v>
      </c>
      <c r="C61" s="846">
        <f t="shared" ref="C61:C63" si="6">J27</f>
        <v>36.164290899999997</v>
      </c>
      <c r="D61" s="756"/>
      <c r="E61" s="161"/>
      <c r="F61" s="161"/>
      <c r="G61" s="161"/>
      <c r="H61" s="161"/>
      <c r="I61" s="161"/>
      <c r="J61" s="161"/>
      <c r="K61" s="161"/>
      <c r="L61" s="161"/>
      <c r="M61" s="161"/>
      <c r="N61" s="161"/>
      <c r="O61" s="161"/>
      <c r="P61" s="161"/>
      <c r="Q61" s="161"/>
      <c r="R61" s="161"/>
      <c r="S61" s="161"/>
      <c r="T61" s="161"/>
      <c r="U61" s="161"/>
      <c r="V61" s="161"/>
      <c r="W61" s="161"/>
      <c r="X61" s="161"/>
      <c r="Y61" s="161"/>
      <c r="Z61" s="161"/>
    </row>
    <row r="62" spans="1:26" ht="11.25" customHeight="1" x14ac:dyDescent="0.2">
      <c r="A62" s="161"/>
      <c r="B62" s="843" t="s">
        <v>837</v>
      </c>
      <c r="C62" s="846">
        <f t="shared" si="6"/>
        <v>72.328581799999995</v>
      </c>
      <c r="D62" s="161"/>
      <c r="E62" s="161"/>
      <c r="F62" s="161"/>
      <c r="G62" s="161"/>
      <c r="H62" s="161"/>
      <c r="I62" s="161"/>
      <c r="J62" s="161"/>
      <c r="K62" s="161"/>
      <c r="L62" s="161"/>
      <c r="M62" s="161"/>
      <c r="N62" s="161"/>
      <c r="O62" s="161"/>
      <c r="P62" s="161"/>
      <c r="Q62" s="161"/>
      <c r="R62" s="161"/>
      <c r="S62" s="161"/>
      <c r="T62" s="161"/>
      <c r="U62" s="161"/>
      <c r="V62" s="161"/>
      <c r="W62" s="161"/>
      <c r="X62" s="161"/>
      <c r="Y62" s="161"/>
      <c r="Z62" s="161"/>
    </row>
    <row r="63" spans="1:26" ht="12" customHeight="1" x14ac:dyDescent="0.2">
      <c r="A63" s="161"/>
      <c r="B63" s="856" t="s">
        <v>838</v>
      </c>
      <c r="C63" s="849">
        <f t="shared" si="6"/>
        <v>180.82145450000002</v>
      </c>
      <c r="D63" s="161"/>
      <c r="E63" s="161"/>
      <c r="F63" s="161"/>
      <c r="G63" s="161"/>
      <c r="H63" s="161"/>
      <c r="I63" s="161"/>
      <c r="J63" s="161"/>
      <c r="K63" s="161"/>
      <c r="L63" s="161"/>
      <c r="M63" s="161"/>
      <c r="N63" s="161"/>
      <c r="O63" s="161"/>
      <c r="P63" s="161"/>
      <c r="Q63" s="161"/>
      <c r="R63" s="161"/>
      <c r="S63" s="161"/>
      <c r="T63" s="161"/>
      <c r="U63" s="161"/>
      <c r="V63" s="161"/>
      <c r="W63" s="161"/>
      <c r="X63" s="161"/>
      <c r="Y63" s="161"/>
      <c r="Z63" s="161"/>
    </row>
    <row r="64" spans="1:26" ht="11.25" customHeight="1" x14ac:dyDescent="0.2">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row>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P6:Q6"/>
  </mergeCells>
  <pageMargins left="0.7" right="0.7" top="0.75" bottom="0.75" header="0" footer="0"/>
  <pageSetup orientation="landscape"/>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000"/>
  <sheetViews>
    <sheetView workbookViewId="0"/>
  </sheetViews>
  <sheetFormatPr defaultColWidth="16.83203125" defaultRowHeight="15" customHeight="1" x14ac:dyDescent="0.2"/>
  <cols>
    <col min="1" max="1" width="8.1640625" customWidth="1"/>
    <col min="2" max="2" width="13.1640625" customWidth="1"/>
    <col min="3" max="3" width="59.1640625" customWidth="1"/>
    <col min="4" max="4" width="18.6640625" customWidth="1"/>
    <col min="5" max="5" width="12.33203125" customWidth="1"/>
    <col min="6" max="6" width="17.83203125" customWidth="1"/>
    <col min="7" max="7" width="14.1640625" customWidth="1"/>
    <col min="8" max="8" width="16.5" customWidth="1"/>
    <col min="9" max="12" width="8" customWidth="1"/>
    <col min="13" max="13" width="18.83203125" customWidth="1"/>
  </cols>
  <sheetData>
    <row r="1" spans="1:8" ht="33" customHeight="1" x14ac:dyDescent="0.45">
      <c r="A1" s="11" t="s">
        <v>852</v>
      </c>
      <c r="B1" s="13"/>
      <c r="D1" s="16"/>
      <c r="G1" s="24"/>
      <c r="H1" s="24"/>
    </row>
    <row r="2" spans="1:8" ht="80.25" customHeight="1" x14ac:dyDescent="0.2"/>
    <row r="3" spans="1:8" ht="11.25" customHeight="1" x14ac:dyDescent="0.2">
      <c r="D3" s="161" t="s">
        <v>853</v>
      </c>
    </row>
    <row r="4" spans="1:8" ht="12" customHeight="1" x14ac:dyDescent="0.2"/>
    <row r="5" spans="1:8" ht="12" customHeight="1" x14ac:dyDescent="0.2">
      <c r="B5" s="26"/>
      <c r="C5" s="31"/>
      <c r="D5" s="31"/>
      <c r="E5" s="31"/>
      <c r="F5" s="31"/>
      <c r="G5" s="31"/>
      <c r="H5" s="28"/>
    </row>
    <row r="6" spans="1:8" ht="12" customHeight="1" x14ac:dyDescent="0.2">
      <c r="B6" s="49"/>
      <c r="C6" s="24"/>
      <c r="D6" s="24"/>
      <c r="E6" s="24"/>
      <c r="F6" s="24"/>
      <c r="G6" s="24"/>
      <c r="H6" s="86"/>
    </row>
    <row r="7" spans="1:8" ht="13.5" customHeight="1" x14ac:dyDescent="0.2">
      <c r="B7" s="49"/>
      <c r="C7" s="855" t="s">
        <v>854</v>
      </c>
      <c r="D7" s="24"/>
      <c r="E7" s="24"/>
      <c r="F7" s="24"/>
      <c r="G7" s="24"/>
      <c r="H7" s="86"/>
    </row>
    <row r="8" spans="1:8" ht="12.75" customHeight="1" x14ac:dyDescent="0.2">
      <c r="B8" s="49"/>
      <c r="C8" s="62"/>
      <c r="D8" s="68" t="s">
        <v>855</v>
      </c>
      <c r="E8" s="68" t="s">
        <v>856</v>
      </c>
      <c r="F8" s="68" t="s">
        <v>857</v>
      </c>
      <c r="G8" s="68" t="s">
        <v>858</v>
      </c>
      <c r="H8" s="86"/>
    </row>
    <row r="9" spans="1:8" ht="12.75" customHeight="1" x14ac:dyDescent="0.2">
      <c r="B9" s="49"/>
      <c r="C9" s="62" t="s">
        <v>859</v>
      </c>
      <c r="D9" s="24"/>
      <c r="E9" s="24"/>
      <c r="F9" s="24"/>
      <c r="G9" s="24"/>
      <c r="H9" s="86"/>
    </row>
    <row r="10" spans="1:8" ht="11.25" customHeight="1" x14ac:dyDescent="0.2">
      <c r="B10" s="49"/>
      <c r="C10" s="24"/>
      <c r="D10" s="24"/>
      <c r="E10" s="24"/>
      <c r="F10" s="24"/>
      <c r="G10" s="24"/>
      <c r="H10" s="86"/>
    </row>
    <row r="11" spans="1:8" ht="12.75" customHeight="1" x14ac:dyDescent="0.2">
      <c r="B11" s="49"/>
      <c r="C11" s="62" t="s">
        <v>655</v>
      </c>
      <c r="D11" s="62">
        <v>2006</v>
      </c>
      <c r="E11" s="62">
        <v>2006</v>
      </c>
      <c r="F11" s="62">
        <v>2006</v>
      </c>
      <c r="G11" s="24"/>
      <c r="H11" s="86"/>
    </row>
    <row r="12" spans="1:8" ht="11.25" customHeight="1" x14ac:dyDescent="0.2">
      <c r="B12" s="49"/>
      <c r="C12" s="24"/>
      <c r="D12" s="24"/>
      <c r="E12" s="24"/>
      <c r="F12" s="24"/>
      <c r="G12" s="24"/>
      <c r="H12" s="86"/>
    </row>
    <row r="13" spans="1:8" ht="12.75" customHeight="1" x14ac:dyDescent="0.2">
      <c r="B13" s="49"/>
      <c r="C13" s="25" t="s">
        <v>861</v>
      </c>
      <c r="D13" s="84">
        <v>557447</v>
      </c>
      <c r="E13" s="84">
        <v>1917452</v>
      </c>
      <c r="F13" s="84">
        <v>218353</v>
      </c>
      <c r="G13" s="109">
        <f>SUM(D13:F13)</f>
        <v>2693252</v>
      </c>
      <c r="H13" s="86"/>
    </row>
    <row r="14" spans="1:8" ht="11.25" customHeight="1" x14ac:dyDescent="0.2">
      <c r="B14" s="49"/>
      <c r="C14" s="24"/>
      <c r="D14" s="24"/>
      <c r="E14" s="24"/>
      <c r="F14" s="24"/>
      <c r="G14" s="24"/>
      <c r="H14" s="86"/>
    </row>
    <row r="15" spans="1:8" ht="15.75" customHeight="1" x14ac:dyDescent="0.3">
      <c r="B15" s="49"/>
      <c r="C15" s="25" t="s">
        <v>863</v>
      </c>
      <c r="D15" s="24">
        <v>525</v>
      </c>
      <c r="E15" s="24">
        <v>540</v>
      </c>
      <c r="F15" s="24">
        <v>525</v>
      </c>
      <c r="G15" s="24"/>
      <c r="H15" s="86"/>
    </row>
    <row r="16" spans="1:8" ht="11.25" customHeight="1" x14ac:dyDescent="0.2">
      <c r="B16" s="49"/>
      <c r="C16" s="24"/>
      <c r="D16" s="24"/>
      <c r="E16" s="24"/>
      <c r="F16" s="24"/>
      <c r="G16" s="24"/>
      <c r="H16" s="86"/>
    </row>
    <row r="17" spans="2:8" ht="15.75" customHeight="1" x14ac:dyDescent="0.3">
      <c r="B17" s="49"/>
      <c r="C17" s="21" t="s">
        <v>864</v>
      </c>
      <c r="D17" s="107">
        <f t="shared" ref="D17:F17" si="0">(D13*D15)/1000</f>
        <v>292659.67499999999</v>
      </c>
      <c r="E17" s="107">
        <f t="shared" si="0"/>
        <v>1035424.08</v>
      </c>
      <c r="F17" s="107">
        <f t="shared" si="0"/>
        <v>114635.325</v>
      </c>
      <c r="G17" s="102">
        <f>SUM(D17:F17)</f>
        <v>1442719.0799999998</v>
      </c>
      <c r="H17" s="86"/>
    </row>
    <row r="18" spans="2:8" ht="12.75" customHeight="1" x14ac:dyDescent="0.2">
      <c r="B18" s="49"/>
      <c r="C18" s="24"/>
      <c r="D18" s="24"/>
      <c r="E18" s="24"/>
      <c r="F18" s="24"/>
      <c r="G18" s="25"/>
      <c r="H18" s="86"/>
    </row>
    <row r="19" spans="2:8" ht="13.5" customHeight="1" x14ac:dyDescent="0.2">
      <c r="B19" s="49"/>
      <c r="C19" s="24"/>
      <c r="D19" s="24"/>
      <c r="E19" s="24"/>
      <c r="F19" s="24"/>
      <c r="G19" s="25"/>
      <c r="H19" s="86"/>
    </row>
    <row r="20" spans="2:8" ht="15" customHeight="1" x14ac:dyDescent="0.25">
      <c r="B20" s="49"/>
      <c r="C20" s="855" t="s">
        <v>866</v>
      </c>
      <c r="D20" s="24"/>
      <c r="E20" s="24"/>
      <c r="F20" s="24"/>
      <c r="G20" s="25"/>
      <c r="H20" s="86"/>
    </row>
    <row r="21" spans="2:8" ht="12.75" customHeight="1" x14ac:dyDescent="0.2">
      <c r="B21" s="49"/>
      <c r="C21" s="24"/>
      <c r="D21" s="24"/>
      <c r="E21" s="24"/>
      <c r="F21" s="24"/>
      <c r="G21" s="25"/>
      <c r="H21" s="86"/>
    </row>
    <row r="22" spans="2:8" ht="12.75" customHeight="1" x14ac:dyDescent="0.2">
      <c r="B22" s="49"/>
      <c r="C22" s="24"/>
      <c r="D22" s="24"/>
      <c r="E22" s="24"/>
      <c r="F22" s="24"/>
      <c r="G22" s="25"/>
      <c r="H22" s="86"/>
    </row>
    <row r="23" spans="2:8" ht="12.75" customHeight="1" x14ac:dyDescent="0.2">
      <c r="B23" s="49"/>
      <c r="C23" s="25" t="s">
        <v>867</v>
      </c>
      <c r="D23" s="84">
        <v>17474</v>
      </c>
      <c r="E23" s="24">
        <v>0</v>
      </c>
      <c r="F23" s="84">
        <v>699.45</v>
      </c>
      <c r="G23" s="102">
        <f>SUM(D23:F23)</f>
        <v>18173.45</v>
      </c>
      <c r="H23" s="86"/>
    </row>
    <row r="24" spans="2:8" ht="12.75" customHeight="1" x14ac:dyDescent="0.2">
      <c r="B24" s="49"/>
      <c r="C24" s="24"/>
      <c r="D24" s="24"/>
      <c r="E24" s="24"/>
      <c r="F24" s="24"/>
      <c r="G24" s="25"/>
      <c r="H24" s="86"/>
    </row>
    <row r="25" spans="2:8" ht="15.75" customHeight="1" x14ac:dyDescent="0.3">
      <c r="B25" s="49"/>
      <c r="C25" s="25" t="s">
        <v>868</v>
      </c>
      <c r="D25" s="24">
        <f t="shared" ref="D25:F25" si="1">525/1000</f>
        <v>0.52500000000000002</v>
      </c>
      <c r="E25" s="24">
        <f t="shared" si="1"/>
        <v>0.52500000000000002</v>
      </c>
      <c r="F25" s="24">
        <f t="shared" si="1"/>
        <v>0.52500000000000002</v>
      </c>
      <c r="G25" s="25"/>
      <c r="H25" s="86"/>
    </row>
    <row r="26" spans="2:8" ht="12.75" customHeight="1" x14ac:dyDescent="0.2">
      <c r="B26" s="49"/>
      <c r="C26" s="25"/>
      <c r="D26" s="24"/>
      <c r="E26" s="24"/>
      <c r="F26" s="24"/>
      <c r="G26" s="25"/>
      <c r="H26" s="86"/>
    </row>
    <row r="27" spans="2:8" ht="12.75" customHeight="1" x14ac:dyDescent="0.2">
      <c r="B27" s="49"/>
      <c r="C27" s="25" t="s">
        <v>870</v>
      </c>
      <c r="D27" s="858">
        <v>1</v>
      </c>
      <c r="E27" s="858">
        <v>1</v>
      </c>
      <c r="F27" s="858">
        <v>1</v>
      </c>
      <c r="G27" s="25"/>
      <c r="H27" s="86"/>
    </row>
    <row r="28" spans="2:8" ht="12.75" customHeight="1" x14ac:dyDescent="0.2">
      <c r="B28" s="49"/>
      <c r="C28" s="24"/>
      <c r="D28" s="24"/>
      <c r="E28" s="24"/>
      <c r="F28" s="24"/>
      <c r="G28" s="25"/>
      <c r="H28" s="86"/>
    </row>
    <row r="29" spans="2:8" ht="15.75" customHeight="1" x14ac:dyDescent="0.3">
      <c r="B29" s="49"/>
      <c r="C29" s="21" t="s">
        <v>871</v>
      </c>
      <c r="D29" s="107">
        <f>D23*D25*D27</f>
        <v>9173.85</v>
      </c>
      <c r="E29" s="107">
        <v>0</v>
      </c>
      <c r="F29" s="107">
        <f>F23*F25*F27</f>
        <v>367.21125000000006</v>
      </c>
      <c r="G29" s="102">
        <f>SUM(D29:F29)</f>
        <v>9541.0612500000007</v>
      </c>
      <c r="H29" s="86"/>
    </row>
    <row r="30" spans="2:8" ht="11.25" customHeight="1" x14ac:dyDescent="0.2">
      <c r="B30" s="49"/>
      <c r="C30" s="24"/>
      <c r="D30" s="24"/>
      <c r="E30" s="24"/>
      <c r="F30" s="24"/>
      <c r="G30" s="24"/>
      <c r="H30" s="86"/>
    </row>
    <row r="31" spans="2:8" ht="12" customHeight="1" x14ac:dyDescent="0.2">
      <c r="B31" s="49"/>
      <c r="C31" s="24"/>
      <c r="D31" s="24"/>
      <c r="E31" s="24"/>
      <c r="F31" s="24"/>
      <c r="G31" s="24"/>
      <c r="H31" s="86"/>
    </row>
    <row r="32" spans="2:8" ht="15" customHeight="1" x14ac:dyDescent="0.25">
      <c r="B32" s="49"/>
      <c r="C32" s="855" t="s">
        <v>872</v>
      </c>
      <c r="D32" s="24"/>
      <c r="E32" s="24"/>
      <c r="F32" s="24"/>
      <c r="G32" s="24"/>
      <c r="H32" s="86"/>
    </row>
    <row r="33" spans="2:8" ht="11.25" customHeight="1" x14ac:dyDescent="0.2">
      <c r="B33" s="49"/>
      <c r="C33" s="24"/>
      <c r="D33" s="24"/>
      <c r="E33" s="24"/>
      <c r="F33" s="24"/>
      <c r="G33" s="24"/>
      <c r="H33" s="86"/>
    </row>
    <row r="34" spans="2:8" ht="11.25" customHeight="1" x14ac:dyDescent="0.2">
      <c r="B34" s="49"/>
      <c r="C34" s="24"/>
      <c r="D34" s="24"/>
      <c r="E34" s="24"/>
      <c r="F34" s="24"/>
      <c r="G34" s="24"/>
      <c r="H34" s="86"/>
    </row>
    <row r="35" spans="2:8" ht="12.75" customHeight="1" x14ac:dyDescent="0.2">
      <c r="B35" s="49"/>
      <c r="C35" s="25" t="s">
        <v>861</v>
      </c>
      <c r="D35" s="84">
        <v>557447</v>
      </c>
      <c r="E35" s="84">
        <v>1917452</v>
      </c>
      <c r="F35" s="84">
        <v>218353</v>
      </c>
      <c r="G35" s="24"/>
      <c r="H35" s="86"/>
    </row>
    <row r="36" spans="2:8" ht="12.75" customHeight="1" x14ac:dyDescent="0.2">
      <c r="B36" s="49"/>
      <c r="C36" s="25"/>
      <c r="D36" s="84"/>
      <c r="E36" s="24"/>
      <c r="F36" s="24"/>
      <c r="G36" s="24"/>
      <c r="H36" s="86"/>
    </row>
    <row r="37" spans="2:8" ht="12.75" customHeight="1" x14ac:dyDescent="0.2">
      <c r="B37" s="49"/>
      <c r="C37" s="25" t="s">
        <v>874</v>
      </c>
      <c r="D37" s="99">
        <v>1.55</v>
      </c>
      <c r="E37" s="99">
        <v>1.55</v>
      </c>
      <c r="F37" s="99">
        <v>1.78</v>
      </c>
      <c r="G37" s="24"/>
      <c r="H37" s="86"/>
    </row>
    <row r="38" spans="2:8" ht="12.75" customHeight="1" x14ac:dyDescent="0.2">
      <c r="B38" s="49"/>
      <c r="C38" s="25"/>
      <c r="D38" s="84"/>
      <c r="E38" s="84"/>
      <c r="F38" s="84"/>
      <c r="G38" s="24"/>
      <c r="H38" s="86"/>
    </row>
    <row r="39" spans="2:8" ht="12.75" customHeight="1" x14ac:dyDescent="0.2">
      <c r="B39" s="49"/>
      <c r="C39" s="25" t="s">
        <v>875</v>
      </c>
      <c r="D39" s="84">
        <f t="shared" ref="D39:F39" si="2">D35*D37</f>
        <v>864042.85</v>
      </c>
      <c r="E39" s="84">
        <f t="shared" si="2"/>
        <v>2972050.6</v>
      </c>
      <c r="F39" s="84">
        <f t="shared" si="2"/>
        <v>388668.34</v>
      </c>
      <c r="G39" s="24"/>
      <c r="H39" s="86"/>
    </row>
    <row r="40" spans="2:8" ht="11.25" customHeight="1" x14ac:dyDescent="0.2">
      <c r="B40" s="49"/>
      <c r="C40" s="24"/>
      <c r="D40" s="24"/>
      <c r="E40" s="24"/>
      <c r="F40" s="24"/>
      <c r="G40" s="24"/>
      <c r="H40" s="86"/>
    </row>
    <row r="41" spans="2:8" ht="12.75" customHeight="1" x14ac:dyDescent="0.2">
      <c r="B41" s="49"/>
      <c r="C41" s="25" t="s">
        <v>876</v>
      </c>
      <c r="D41" s="865">
        <v>2E-3</v>
      </c>
      <c r="E41" s="865">
        <v>2E-3</v>
      </c>
      <c r="F41" s="865">
        <v>2E-3</v>
      </c>
      <c r="G41" s="24"/>
      <c r="H41" s="86"/>
    </row>
    <row r="42" spans="2:8" ht="11.25" customHeight="1" x14ac:dyDescent="0.2">
      <c r="B42" s="49"/>
      <c r="C42" s="24"/>
      <c r="D42" s="24"/>
      <c r="E42" s="24"/>
      <c r="F42" s="24"/>
      <c r="G42" s="24"/>
      <c r="H42" s="86"/>
    </row>
    <row r="43" spans="2:8" ht="15.75" customHeight="1" x14ac:dyDescent="0.3">
      <c r="B43" s="49"/>
      <c r="C43" s="21" t="s">
        <v>877</v>
      </c>
      <c r="D43" s="107">
        <f t="shared" ref="D43:F43" si="3">(D39*D41)*(44/12)</f>
        <v>6336.3142333333335</v>
      </c>
      <c r="E43" s="107">
        <f t="shared" si="3"/>
        <v>21795.037733333334</v>
      </c>
      <c r="F43" s="107">
        <f t="shared" si="3"/>
        <v>2850.2344933333338</v>
      </c>
      <c r="G43" s="102">
        <f>SUM(D43:F43)</f>
        <v>30981.586460000002</v>
      </c>
      <c r="H43" s="86"/>
    </row>
    <row r="44" spans="2:8" ht="11.25" customHeight="1" x14ac:dyDescent="0.2">
      <c r="B44" s="49"/>
      <c r="C44" s="24"/>
      <c r="D44" s="24"/>
      <c r="E44" s="24"/>
      <c r="F44" s="24"/>
      <c r="G44" s="24"/>
      <c r="H44" s="86"/>
    </row>
    <row r="45" spans="2:8" ht="11.25" customHeight="1" x14ac:dyDescent="0.2">
      <c r="B45" s="49"/>
      <c r="C45" s="24"/>
      <c r="D45" s="24"/>
      <c r="E45" s="24"/>
      <c r="F45" s="24"/>
      <c r="G45" s="24"/>
      <c r="H45" s="86"/>
    </row>
    <row r="46" spans="2:8" ht="15.75" customHeight="1" x14ac:dyDescent="0.3">
      <c r="B46" s="49"/>
      <c r="C46" s="1826" t="s">
        <v>878</v>
      </c>
      <c r="D46" s="1766"/>
      <c r="E46" s="1766"/>
      <c r="F46" s="1766"/>
      <c r="G46" s="109">
        <f>G17+G29+G43</f>
        <v>1483241.7277099998</v>
      </c>
      <c r="H46" s="86"/>
    </row>
    <row r="47" spans="2:8" ht="11.25" customHeight="1" x14ac:dyDescent="0.2">
      <c r="B47" s="49"/>
      <c r="C47" s="24"/>
      <c r="D47" s="24"/>
      <c r="E47" s="24"/>
      <c r="F47" s="24"/>
      <c r="G47" s="24"/>
      <c r="H47" s="86"/>
    </row>
    <row r="48" spans="2:8" ht="15.75" customHeight="1" x14ac:dyDescent="0.3">
      <c r="B48" s="49"/>
      <c r="C48" s="1827" t="s">
        <v>879</v>
      </c>
      <c r="D48" s="1766"/>
      <c r="E48" s="1766"/>
      <c r="F48" s="1766"/>
      <c r="G48" s="868">
        <f>G46/1000000</f>
        <v>1.4832417277099998</v>
      </c>
      <c r="H48" s="86"/>
    </row>
    <row r="49" spans="1:13" ht="11.25" customHeight="1" x14ac:dyDescent="0.2">
      <c r="B49" s="49"/>
      <c r="C49" s="24"/>
      <c r="D49" s="24"/>
      <c r="E49" s="24"/>
      <c r="F49" s="24"/>
      <c r="G49" s="24"/>
      <c r="H49" s="86"/>
    </row>
    <row r="50" spans="1:13" ht="12" customHeight="1" x14ac:dyDescent="0.2">
      <c r="B50" s="154"/>
      <c r="C50" s="155"/>
      <c r="D50" s="155"/>
      <c r="E50" s="155"/>
      <c r="F50" s="155"/>
      <c r="G50" s="155"/>
      <c r="H50" s="156"/>
    </row>
    <row r="51" spans="1:13" ht="12" customHeight="1" x14ac:dyDescent="0.2"/>
    <row r="52" spans="1:13" ht="11.25" customHeight="1" x14ac:dyDescent="0.2"/>
    <row r="53" spans="1:13" ht="11.25" customHeight="1" x14ac:dyDescent="0.2"/>
    <row r="54" spans="1:13" ht="11.25" customHeight="1" x14ac:dyDescent="0.2"/>
    <row r="55" spans="1:13" ht="11.25" customHeight="1" x14ac:dyDescent="0.2"/>
    <row r="56" spans="1:13" ht="11.25" customHeight="1" x14ac:dyDescent="0.2"/>
    <row r="57" spans="1:13" ht="11.25" customHeight="1" x14ac:dyDescent="0.2"/>
    <row r="58" spans="1:13" ht="11.25" customHeight="1" x14ac:dyDescent="0.2"/>
    <row r="59" spans="1:13" ht="11.25" customHeight="1" x14ac:dyDescent="0.2"/>
    <row r="60" spans="1:13" ht="12.75" customHeight="1" x14ac:dyDescent="0.2">
      <c r="D60" s="62" t="s">
        <v>880</v>
      </c>
    </row>
    <row r="61" spans="1:13" ht="11.25" customHeight="1" x14ac:dyDescent="0.2"/>
    <row r="62" spans="1:13" ht="12" customHeight="1" x14ac:dyDescent="0.2"/>
    <row r="63" spans="1:13" ht="19.5" customHeight="1" x14ac:dyDescent="0.2">
      <c r="A63" s="24"/>
      <c r="B63" s="869" t="s">
        <v>791</v>
      </c>
      <c r="C63" s="870"/>
      <c r="D63" s="870" t="s">
        <v>354</v>
      </c>
      <c r="E63" s="871"/>
      <c r="F63" s="870" t="s">
        <v>356</v>
      </c>
      <c r="G63" s="871"/>
      <c r="H63" s="872" t="s">
        <v>881</v>
      </c>
      <c r="I63" s="871"/>
      <c r="J63" s="870" t="s">
        <v>356</v>
      </c>
      <c r="K63" s="871"/>
      <c r="L63" s="870" t="s">
        <v>356</v>
      </c>
      <c r="M63" s="870" t="s">
        <v>356</v>
      </c>
    </row>
    <row r="64" spans="1:13" ht="11.25" customHeight="1" x14ac:dyDescent="0.2">
      <c r="A64" s="873"/>
      <c r="B64" s="874" t="s">
        <v>882</v>
      </c>
      <c r="C64" s="58"/>
      <c r="D64" s="670" t="s">
        <v>883</v>
      </c>
      <c r="E64" s="670"/>
      <c r="F64" s="670" t="s">
        <v>884</v>
      </c>
      <c r="G64" s="670"/>
      <c r="H64" s="670" t="s">
        <v>885</v>
      </c>
      <c r="I64" s="670"/>
      <c r="J64" s="670" t="s">
        <v>886</v>
      </c>
      <c r="K64" s="58"/>
      <c r="L64" s="670" t="s">
        <v>887</v>
      </c>
      <c r="M64" s="670" t="s">
        <v>888</v>
      </c>
    </row>
    <row r="65" spans="2:13" ht="11.25" customHeight="1" x14ac:dyDescent="0.2">
      <c r="B65" s="877"/>
      <c r="C65" s="58"/>
      <c r="D65" s="58"/>
      <c r="E65" s="58"/>
      <c r="F65" s="58"/>
      <c r="G65" s="58"/>
      <c r="H65" s="58"/>
      <c r="I65" s="58"/>
      <c r="J65" s="58"/>
      <c r="K65" s="58"/>
      <c r="L65" s="58"/>
      <c r="M65" s="878"/>
    </row>
    <row r="66" spans="2:13" ht="11.25" customHeight="1" x14ac:dyDescent="0.2">
      <c r="B66" s="880">
        <f>G13</f>
        <v>2693252</v>
      </c>
      <c r="C66" s="883" t="s">
        <v>755</v>
      </c>
      <c r="D66" s="885">
        <v>0.50696255349500718</v>
      </c>
      <c r="E66" s="887" t="s">
        <v>740</v>
      </c>
      <c r="F66" s="304">
        <f>B66*D66</f>
        <v>1365377.9111255351</v>
      </c>
      <c r="G66" s="887" t="s">
        <v>737</v>
      </c>
      <c r="H66" s="304">
        <f>F66*20%</f>
        <v>273075.58222510706</v>
      </c>
      <c r="I66" s="887" t="s">
        <v>740</v>
      </c>
      <c r="J66" s="304">
        <f>L66*(12/44)</f>
        <v>446850.95273199334</v>
      </c>
      <c r="K66" s="887" t="s">
        <v>740</v>
      </c>
      <c r="L66" s="304">
        <f>F66+H66</f>
        <v>1638453.4933506423</v>
      </c>
      <c r="M66" s="893">
        <f>L66/1000000</f>
        <v>1.6384534933506423</v>
      </c>
    </row>
    <row r="67" spans="2:13" ht="11.25" customHeight="1" x14ac:dyDescent="0.2">
      <c r="B67" s="877" t="s">
        <v>889</v>
      </c>
      <c r="C67" s="58"/>
      <c r="D67" s="58"/>
      <c r="E67" s="58"/>
      <c r="F67" s="58"/>
      <c r="G67" s="58"/>
      <c r="H67" s="58"/>
      <c r="I67" s="58"/>
      <c r="J67" s="58"/>
      <c r="K67" s="58"/>
      <c r="L67" s="58"/>
      <c r="M67" s="878"/>
    </row>
    <row r="68" spans="2:13" ht="12" customHeight="1" x14ac:dyDescent="0.2">
      <c r="B68" s="894"/>
      <c r="C68" s="895"/>
      <c r="D68" s="895"/>
      <c r="E68" s="895"/>
      <c r="F68" s="895"/>
      <c r="G68" s="895"/>
      <c r="H68" s="895"/>
      <c r="I68" s="895"/>
      <c r="J68" s="895"/>
      <c r="K68" s="895"/>
      <c r="L68" s="895"/>
      <c r="M68" s="896"/>
    </row>
    <row r="69" spans="2:13" ht="12" customHeight="1" x14ac:dyDescent="0.2"/>
    <row r="70" spans="2:13" ht="11.25" customHeight="1" x14ac:dyDescent="0.2"/>
    <row r="71" spans="2:13" ht="11.25" customHeight="1" x14ac:dyDescent="0.2"/>
    <row r="72" spans="2:13" ht="11.25" customHeight="1" x14ac:dyDescent="0.2"/>
    <row r="73" spans="2:13" ht="11.25" customHeight="1" x14ac:dyDescent="0.2"/>
    <row r="74" spans="2:13" ht="11.25" customHeight="1" x14ac:dyDescent="0.2"/>
    <row r="75" spans="2:13" ht="11.25" customHeight="1" x14ac:dyDescent="0.2"/>
    <row r="76" spans="2:13" ht="12" customHeight="1" x14ac:dyDescent="0.2"/>
    <row r="77" spans="2:13" ht="12" customHeight="1" x14ac:dyDescent="0.2">
      <c r="B77" s="86"/>
      <c r="C77" s="897"/>
      <c r="D77" s="898"/>
      <c r="E77" s="24"/>
      <c r="F77" s="24"/>
      <c r="G77" s="24"/>
      <c r="H77" s="24"/>
    </row>
    <row r="78" spans="2:13" ht="12.75" customHeight="1" x14ac:dyDescent="0.2">
      <c r="B78" s="86"/>
      <c r="C78" s="899" t="s">
        <v>854</v>
      </c>
      <c r="D78" s="495"/>
      <c r="E78" s="24"/>
      <c r="F78" s="24"/>
      <c r="G78" s="24"/>
      <c r="H78" s="24"/>
    </row>
    <row r="79" spans="2:13" ht="12.75" customHeight="1" x14ac:dyDescent="0.2">
      <c r="B79" s="86"/>
      <c r="C79" s="393"/>
      <c r="D79" s="901" t="s">
        <v>858</v>
      </c>
      <c r="E79" s="62"/>
      <c r="F79" s="62"/>
      <c r="G79" s="24"/>
      <c r="H79" s="24"/>
    </row>
    <row r="80" spans="2:13" ht="12.75" customHeight="1" x14ac:dyDescent="0.2">
      <c r="B80" s="86"/>
      <c r="C80" s="393" t="s">
        <v>655</v>
      </c>
      <c r="D80" s="902">
        <v>2006</v>
      </c>
      <c r="E80" s="62"/>
      <c r="F80" s="62"/>
      <c r="G80" s="24"/>
      <c r="H80" s="24"/>
    </row>
    <row r="81" spans="2:8" ht="11.25" customHeight="1" x14ac:dyDescent="0.2">
      <c r="B81" s="86"/>
      <c r="C81" s="385"/>
      <c r="D81" s="903"/>
      <c r="E81" s="24"/>
      <c r="F81" s="24"/>
      <c r="G81" s="24"/>
      <c r="H81" s="24"/>
    </row>
    <row r="82" spans="2:8" ht="12.75" customHeight="1" x14ac:dyDescent="0.2">
      <c r="B82" s="86"/>
      <c r="C82" s="376" t="s">
        <v>861</v>
      </c>
      <c r="D82" s="904">
        <v>2693252</v>
      </c>
      <c r="E82" s="84"/>
      <c r="F82" s="84"/>
      <c r="G82" s="24"/>
      <c r="H82" s="24"/>
    </row>
    <row r="83" spans="2:8" ht="11.25" customHeight="1" x14ac:dyDescent="0.2">
      <c r="B83" s="86"/>
      <c r="C83" s="385"/>
      <c r="D83" s="903"/>
      <c r="E83" s="24"/>
      <c r="F83" s="24"/>
      <c r="G83" s="24"/>
      <c r="H83" s="24"/>
    </row>
    <row r="84" spans="2:8" ht="15.75" customHeight="1" x14ac:dyDescent="0.3">
      <c r="B84" s="86"/>
      <c r="C84" s="376" t="s">
        <v>893</v>
      </c>
      <c r="D84" s="903">
        <v>530</v>
      </c>
      <c r="E84" s="24"/>
      <c r="F84" s="24"/>
      <c r="G84" s="24"/>
      <c r="H84" s="24"/>
    </row>
    <row r="85" spans="2:8" ht="11.25" customHeight="1" x14ac:dyDescent="0.2">
      <c r="B85" s="86"/>
      <c r="C85" s="385"/>
      <c r="D85" s="903"/>
      <c r="E85" s="24"/>
      <c r="F85" s="24"/>
      <c r="G85" s="24"/>
      <c r="H85" s="24"/>
    </row>
    <row r="86" spans="2:8" ht="15.75" customHeight="1" x14ac:dyDescent="0.3">
      <c r="B86" s="86"/>
      <c r="C86" s="905" t="s">
        <v>894</v>
      </c>
      <c r="D86" s="906">
        <v>1442719.08</v>
      </c>
      <c r="E86" s="107"/>
      <c r="F86" s="107"/>
      <c r="G86" s="24"/>
      <c r="H86" s="907"/>
    </row>
    <row r="87" spans="2:8" ht="12.75" customHeight="1" x14ac:dyDescent="0.2">
      <c r="B87" s="86"/>
      <c r="C87" s="385"/>
      <c r="D87" s="908"/>
      <c r="E87" s="24"/>
      <c r="F87" s="24"/>
      <c r="G87" s="24"/>
      <c r="H87" s="24"/>
    </row>
    <row r="88" spans="2:8" ht="14.25" customHeight="1" x14ac:dyDescent="0.25">
      <c r="B88" s="86"/>
      <c r="C88" s="899" t="s">
        <v>895</v>
      </c>
      <c r="D88" s="908"/>
      <c r="E88" s="24"/>
      <c r="F88" s="24"/>
      <c r="G88" s="24"/>
      <c r="H88" s="24"/>
    </row>
    <row r="89" spans="2:8" ht="12.75" customHeight="1" x14ac:dyDescent="0.2">
      <c r="B89" s="86"/>
      <c r="C89" s="385"/>
      <c r="D89" s="908"/>
      <c r="E89" s="24"/>
      <c r="F89" s="24"/>
      <c r="G89" s="24"/>
      <c r="H89" s="24"/>
    </row>
    <row r="90" spans="2:8" ht="12.75" customHeight="1" x14ac:dyDescent="0.2">
      <c r="B90" s="86"/>
      <c r="C90" s="376" t="s">
        <v>867</v>
      </c>
      <c r="D90" s="906">
        <v>18173.45</v>
      </c>
      <c r="E90" s="24"/>
      <c r="F90" s="84"/>
      <c r="G90" s="24"/>
      <c r="H90" s="24"/>
    </row>
    <row r="91" spans="2:8" ht="12.75" customHeight="1" x14ac:dyDescent="0.2">
      <c r="B91" s="86"/>
      <c r="C91" s="385"/>
      <c r="D91" s="908"/>
      <c r="E91" s="24"/>
      <c r="F91" s="24"/>
      <c r="G91" s="24"/>
      <c r="H91" s="24"/>
    </row>
    <row r="92" spans="2:8" ht="15.75" customHeight="1" x14ac:dyDescent="0.3">
      <c r="B92" s="86"/>
      <c r="C92" s="376" t="s">
        <v>897</v>
      </c>
      <c r="D92" s="903">
        <v>0.52500000000000002</v>
      </c>
      <c r="E92" s="24"/>
      <c r="F92" s="24"/>
      <c r="G92" s="24"/>
      <c r="H92" s="24"/>
    </row>
    <row r="93" spans="2:8" ht="12.75" customHeight="1" x14ac:dyDescent="0.2">
      <c r="B93" s="86"/>
      <c r="C93" s="376"/>
      <c r="D93" s="908"/>
      <c r="E93" s="24"/>
      <c r="F93" s="24"/>
      <c r="G93" s="24"/>
      <c r="H93" s="24"/>
    </row>
    <row r="94" spans="2:8" ht="12.75" customHeight="1" x14ac:dyDescent="0.2">
      <c r="B94" s="86"/>
      <c r="C94" s="376" t="s">
        <v>870</v>
      </c>
      <c r="D94" s="912">
        <v>1</v>
      </c>
      <c r="E94" s="858"/>
      <c r="F94" s="858"/>
      <c r="G94" s="24"/>
      <c r="H94" s="24"/>
    </row>
    <row r="95" spans="2:8" ht="12.75" customHeight="1" x14ac:dyDescent="0.2">
      <c r="B95" s="86"/>
      <c r="C95" s="385"/>
      <c r="D95" s="908"/>
      <c r="E95" s="24"/>
      <c r="F95" s="24"/>
      <c r="G95" s="24"/>
      <c r="H95" s="24"/>
    </row>
    <row r="96" spans="2:8" ht="15.75" customHeight="1" x14ac:dyDescent="0.3">
      <c r="B96" s="86"/>
      <c r="C96" s="905" t="s">
        <v>898</v>
      </c>
      <c r="D96" s="906">
        <v>9541.0612500000007</v>
      </c>
      <c r="E96" s="107"/>
      <c r="F96" s="107"/>
      <c r="G96" s="24"/>
      <c r="H96" s="99"/>
    </row>
    <row r="97" spans="2:8" ht="11.25" customHeight="1" x14ac:dyDescent="0.2">
      <c r="B97" s="86"/>
      <c r="C97" s="385"/>
      <c r="D97" s="903"/>
      <c r="E97" s="24"/>
      <c r="F97" s="24"/>
      <c r="G97" s="24"/>
      <c r="H97" s="24"/>
    </row>
    <row r="98" spans="2:8" ht="14.25" customHeight="1" x14ac:dyDescent="0.25">
      <c r="B98" s="86"/>
      <c r="C98" s="899" t="s">
        <v>899</v>
      </c>
      <c r="D98" s="903"/>
      <c r="E98" s="24"/>
      <c r="F98" s="24"/>
      <c r="G98" s="24"/>
      <c r="H98" s="24"/>
    </row>
    <row r="99" spans="2:8" ht="11.25" customHeight="1" x14ac:dyDescent="0.2">
      <c r="B99" s="86"/>
      <c r="C99" s="385"/>
      <c r="D99" s="903"/>
      <c r="E99" s="24"/>
      <c r="F99" s="24"/>
      <c r="G99" s="24"/>
      <c r="H99" s="24"/>
    </row>
    <row r="100" spans="2:8" ht="12.75" customHeight="1" x14ac:dyDescent="0.2">
      <c r="B100" s="86"/>
      <c r="C100" s="376" t="s">
        <v>861</v>
      </c>
      <c r="D100" s="914">
        <v>2693252</v>
      </c>
      <c r="E100" s="84"/>
      <c r="F100" s="84"/>
      <c r="G100" s="24"/>
      <c r="H100" s="24"/>
    </row>
    <row r="101" spans="2:8" ht="12.75" customHeight="1" x14ac:dyDescent="0.2">
      <c r="B101" s="86"/>
      <c r="C101" s="376"/>
      <c r="D101" s="903"/>
      <c r="E101" s="24"/>
      <c r="F101" s="24"/>
      <c r="G101" s="24"/>
      <c r="H101" s="24"/>
    </row>
    <row r="102" spans="2:8" ht="12.75" customHeight="1" x14ac:dyDescent="0.2">
      <c r="B102" s="86"/>
      <c r="C102" s="376" t="s">
        <v>874</v>
      </c>
      <c r="D102" s="917">
        <v>1.6266666666666667</v>
      </c>
      <c r="E102" s="99"/>
      <c r="F102" s="99"/>
      <c r="G102" s="24"/>
      <c r="H102" s="24"/>
    </row>
    <row r="103" spans="2:8" ht="12.75" customHeight="1" x14ac:dyDescent="0.2">
      <c r="B103" s="86"/>
      <c r="C103" s="376"/>
      <c r="D103" s="903"/>
      <c r="E103" s="84"/>
      <c r="F103" s="84"/>
      <c r="G103" s="24"/>
      <c r="H103" s="24"/>
    </row>
    <row r="104" spans="2:8" ht="12.75" customHeight="1" x14ac:dyDescent="0.2">
      <c r="B104" s="86"/>
      <c r="C104" s="376" t="s">
        <v>875</v>
      </c>
      <c r="D104" s="914">
        <v>4381023.2533333339</v>
      </c>
      <c r="E104" s="84"/>
      <c r="F104" s="84"/>
      <c r="G104" s="24"/>
      <c r="H104" s="24"/>
    </row>
    <row r="105" spans="2:8" ht="11.25" customHeight="1" x14ac:dyDescent="0.2">
      <c r="B105" s="86"/>
      <c r="C105" s="385"/>
      <c r="D105" s="903"/>
      <c r="E105" s="24"/>
      <c r="F105" s="24"/>
      <c r="G105" s="24"/>
      <c r="H105" s="24"/>
    </row>
    <row r="106" spans="2:8" ht="12.75" customHeight="1" x14ac:dyDescent="0.2">
      <c r="B106" s="86"/>
      <c r="C106" s="376" t="s">
        <v>876</v>
      </c>
      <c r="D106" s="919">
        <v>2E-3</v>
      </c>
      <c r="E106" s="865"/>
      <c r="F106" s="865"/>
      <c r="G106" s="24"/>
      <c r="H106" s="24"/>
    </row>
    <row r="107" spans="2:8" ht="11.25" customHeight="1" x14ac:dyDescent="0.2">
      <c r="B107" s="86"/>
      <c r="C107" s="385"/>
      <c r="D107" s="903"/>
      <c r="E107" s="24"/>
      <c r="F107" s="24"/>
      <c r="G107" s="24"/>
      <c r="H107" s="24"/>
    </row>
    <row r="108" spans="2:8" ht="15.75" customHeight="1" x14ac:dyDescent="0.3">
      <c r="B108" s="86"/>
      <c r="C108" s="905" t="s">
        <v>901</v>
      </c>
      <c r="D108" s="906">
        <v>30981.586460000002</v>
      </c>
      <c r="E108" s="107"/>
      <c r="F108" s="107"/>
      <c r="G108" s="24"/>
      <c r="H108" s="99"/>
    </row>
    <row r="109" spans="2:8" ht="11.25" customHeight="1" x14ac:dyDescent="0.2">
      <c r="B109" s="86"/>
      <c r="C109" s="385"/>
      <c r="D109" s="903"/>
      <c r="E109" s="24"/>
      <c r="F109" s="24"/>
      <c r="G109" s="24"/>
      <c r="H109" s="24"/>
    </row>
    <row r="110" spans="2:8" ht="15.75" customHeight="1" x14ac:dyDescent="0.3">
      <c r="B110" s="86"/>
      <c r="C110" s="385" t="s">
        <v>902</v>
      </c>
      <c r="D110" s="904">
        <v>1483241.7277099998</v>
      </c>
      <c r="E110" s="24"/>
      <c r="F110" s="24"/>
      <c r="G110" s="24"/>
      <c r="H110" s="109"/>
    </row>
    <row r="111" spans="2:8" ht="11.25" customHeight="1" x14ac:dyDescent="0.2">
      <c r="B111" s="86"/>
      <c r="C111" s="385"/>
      <c r="D111" s="903"/>
      <c r="E111" s="24"/>
      <c r="F111" s="24"/>
      <c r="G111" s="24"/>
      <c r="H111" s="24"/>
    </row>
    <row r="112" spans="2:8" ht="15.75" customHeight="1" x14ac:dyDescent="0.3">
      <c r="B112" s="86"/>
      <c r="C112" s="922" t="s">
        <v>903</v>
      </c>
      <c r="D112" s="923">
        <v>1.4832417277099998</v>
      </c>
      <c r="E112" s="867"/>
      <c r="F112" s="867"/>
      <c r="G112" s="24"/>
      <c r="H112" s="24"/>
    </row>
    <row r="113" spans="2:8" ht="12" customHeight="1" x14ac:dyDescent="0.2">
      <c r="B113" s="86"/>
      <c r="C113" s="394"/>
      <c r="D113" s="396"/>
      <c r="E113" s="24"/>
      <c r="F113" s="24"/>
      <c r="G113" s="24"/>
      <c r="H113" s="24"/>
    </row>
    <row r="114" spans="2:8" ht="12" customHeight="1" x14ac:dyDescent="0.2"/>
    <row r="115" spans="2:8" ht="11.25" customHeight="1" x14ac:dyDescent="0.2"/>
    <row r="116" spans="2:8" ht="11.25" customHeight="1" x14ac:dyDescent="0.2"/>
    <row r="117" spans="2:8" ht="11.25" customHeight="1" x14ac:dyDescent="0.2"/>
    <row r="118" spans="2:8" ht="11.25" customHeight="1" x14ac:dyDescent="0.2"/>
    <row r="119" spans="2:8" ht="11.25" customHeight="1" x14ac:dyDescent="0.2"/>
    <row r="120" spans="2:8" ht="11.25" customHeight="1" x14ac:dyDescent="0.2"/>
    <row r="121" spans="2:8" ht="11.25" customHeight="1" x14ac:dyDescent="0.2"/>
    <row r="122" spans="2:8" ht="11.25" customHeight="1" x14ac:dyDescent="0.2"/>
    <row r="123" spans="2:8" ht="11.25" customHeight="1" x14ac:dyDescent="0.2"/>
    <row r="124" spans="2:8" ht="11.25" customHeight="1" x14ac:dyDescent="0.2"/>
    <row r="125" spans="2:8" ht="11.25" customHeight="1" x14ac:dyDescent="0.2"/>
    <row r="126" spans="2:8" ht="11.25" customHeight="1" x14ac:dyDescent="0.2"/>
    <row r="127" spans="2:8" ht="11.25" customHeight="1" x14ac:dyDescent="0.2"/>
    <row r="128" spans="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C46:F46"/>
    <mergeCell ref="C48:F48"/>
  </mergeCells>
  <pageMargins left="0.7" right="0.7" top="0.75" bottom="0.75" header="0" footer="0"/>
  <pageSetup orientation="landscape"/>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994"/>
  <sheetViews>
    <sheetView workbookViewId="0"/>
  </sheetViews>
  <sheetFormatPr defaultColWidth="16.83203125" defaultRowHeight="15" customHeight="1" x14ac:dyDescent="0.2"/>
  <cols>
    <col min="1" max="2" width="8" customWidth="1"/>
    <col min="3" max="3" width="34" customWidth="1"/>
    <col min="4" max="4" width="19.6640625" customWidth="1"/>
    <col min="5" max="5" width="3.83203125" customWidth="1"/>
    <col min="6" max="6" width="15.83203125" customWidth="1"/>
    <col min="7" max="7" width="3.83203125" customWidth="1"/>
    <col min="8" max="8" width="12.5" customWidth="1"/>
    <col min="9" max="9" width="3.83203125" customWidth="1"/>
    <col min="10" max="10" width="13.5" customWidth="1"/>
    <col min="11" max="11" width="8" customWidth="1"/>
    <col min="12" max="12" width="15.6640625" customWidth="1"/>
    <col min="13" max="14" width="8" customWidth="1"/>
    <col min="15" max="15" width="14.1640625" customWidth="1"/>
    <col min="16" max="18" width="8" customWidth="1"/>
    <col min="19" max="19" width="28.5" customWidth="1"/>
    <col min="20" max="34" width="8" customWidth="1"/>
  </cols>
  <sheetData>
    <row r="1" spans="1:34" ht="33" customHeight="1" x14ac:dyDescent="0.45">
      <c r="A1" s="645" t="s">
        <v>1746</v>
      </c>
      <c r="N1" s="16"/>
    </row>
    <row r="2" spans="1:34" ht="213.75" customHeight="1" x14ac:dyDescent="0.3">
      <c r="A2" s="24"/>
      <c r="B2" s="566"/>
      <c r="C2" s="74"/>
      <c r="D2" s="74"/>
      <c r="E2" s="74"/>
      <c r="F2" s="74"/>
      <c r="G2" s="74"/>
      <c r="H2" s="74"/>
      <c r="I2" s="74"/>
      <c r="J2" s="74"/>
      <c r="K2" s="74"/>
      <c r="L2" s="74"/>
      <c r="M2" s="24"/>
      <c r="N2" s="24"/>
      <c r="O2" s="24"/>
      <c r="P2" s="24"/>
      <c r="Q2" s="24"/>
      <c r="R2" s="24"/>
      <c r="S2" s="24"/>
      <c r="T2" s="24"/>
      <c r="U2" s="24"/>
      <c r="V2" s="24"/>
      <c r="W2" s="24"/>
      <c r="X2" s="24"/>
      <c r="Y2" s="24"/>
      <c r="Z2" s="24"/>
      <c r="AA2" s="24"/>
      <c r="AB2" s="24"/>
      <c r="AC2" s="24"/>
      <c r="AD2" s="24"/>
      <c r="AE2" s="24"/>
      <c r="AF2" s="24"/>
      <c r="AG2" s="24"/>
      <c r="AH2" s="24"/>
    </row>
    <row r="3" spans="1:34" ht="21" customHeight="1" x14ac:dyDescent="0.4">
      <c r="A3" s="24"/>
      <c r="B3" s="24"/>
      <c r="C3" s="11" t="s">
        <v>930</v>
      </c>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ht="36" customHeight="1" x14ac:dyDescent="0.2">
      <c r="A4" s="959"/>
      <c r="B4" s="959"/>
      <c r="C4" s="960"/>
      <c r="D4" s="961" t="s">
        <v>931</v>
      </c>
      <c r="E4" s="962"/>
      <c r="F4" s="963" t="s">
        <v>932</v>
      </c>
      <c r="G4" s="960"/>
      <c r="H4" s="963" t="s">
        <v>833</v>
      </c>
      <c r="I4" s="960"/>
      <c r="J4" s="963" t="s">
        <v>933</v>
      </c>
      <c r="K4" s="959"/>
      <c r="L4" s="959"/>
      <c r="M4" s="959"/>
      <c r="N4" s="959"/>
      <c r="O4" s="1769" t="s">
        <v>1</v>
      </c>
      <c r="P4" s="1759"/>
      <c r="Q4" s="959"/>
      <c r="R4" s="959"/>
      <c r="S4" s="959"/>
      <c r="T4" s="959"/>
      <c r="U4" s="959"/>
      <c r="V4" s="959"/>
      <c r="W4" s="959"/>
      <c r="X4" s="959"/>
      <c r="Y4" s="959"/>
      <c r="Z4" s="959"/>
      <c r="AA4" s="959"/>
      <c r="AB4" s="959"/>
      <c r="AC4" s="959"/>
      <c r="AD4" s="959"/>
      <c r="AE4" s="959"/>
      <c r="AF4" s="959"/>
      <c r="AG4" s="959"/>
      <c r="AH4" s="959"/>
    </row>
    <row r="5" spans="1:34" ht="12" customHeight="1" x14ac:dyDescent="0.2">
      <c r="A5" s="959"/>
      <c r="B5" s="959"/>
      <c r="C5" s="960" t="s">
        <v>934</v>
      </c>
      <c r="D5" s="964">
        <v>258957.25360303544</v>
      </c>
      <c r="E5" s="7" t="s">
        <v>755</v>
      </c>
      <c r="F5" s="965">
        <v>0.44</v>
      </c>
      <c r="G5" s="7" t="s">
        <v>740</v>
      </c>
      <c r="H5" s="964">
        <f t="shared" ref="H5:H7" si="0">J5*12/44</f>
        <v>31074.870432364252</v>
      </c>
      <c r="I5" s="7" t="s">
        <v>740</v>
      </c>
      <c r="J5" s="964">
        <f t="shared" ref="J5:J7" si="1">IF(ISERROR(D5*F5),0,D5*F5)</f>
        <v>113941.19158533559</v>
      </c>
      <c r="K5" s="959"/>
      <c r="L5" s="959"/>
      <c r="M5" s="959"/>
      <c r="N5" s="959"/>
      <c r="O5" s="235"/>
      <c r="P5" s="235"/>
      <c r="Q5" s="959"/>
      <c r="R5" s="959"/>
      <c r="S5" s="959"/>
      <c r="T5" s="959"/>
      <c r="U5" s="959"/>
      <c r="V5" s="959"/>
      <c r="W5" s="959"/>
      <c r="X5" s="959"/>
      <c r="Y5" s="959"/>
      <c r="Z5" s="959"/>
      <c r="AA5" s="959"/>
      <c r="AB5" s="959"/>
      <c r="AC5" s="959"/>
      <c r="AD5" s="959"/>
      <c r="AE5" s="959"/>
      <c r="AF5" s="959"/>
      <c r="AG5" s="959"/>
      <c r="AH5" s="959"/>
    </row>
    <row r="6" spans="1:34" ht="12" customHeight="1" x14ac:dyDescent="0.2">
      <c r="A6" s="959"/>
      <c r="B6" s="959"/>
      <c r="C6" s="960" t="s">
        <v>936</v>
      </c>
      <c r="D6" s="964">
        <v>0</v>
      </c>
      <c r="E6" s="7" t="s">
        <v>755</v>
      </c>
      <c r="F6" s="965">
        <v>0.48400000000000004</v>
      </c>
      <c r="G6" s="7" t="s">
        <v>740</v>
      </c>
      <c r="H6" s="964">
        <f t="shared" si="0"/>
        <v>0</v>
      </c>
      <c r="I6" s="7" t="s">
        <v>740</v>
      </c>
      <c r="J6" s="964">
        <f t="shared" si="1"/>
        <v>0</v>
      </c>
      <c r="K6" s="959"/>
      <c r="L6" s="959"/>
      <c r="M6" s="959"/>
      <c r="N6" s="959"/>
      <c r="O6" s="240" t="s">
        <v>433</v>
      </c>
      <c r="P6" s="241">
        <f>Summary!E4</f>
        <v>1</v>
      </c>
      <c r="Q6" s="959"/>
      <c r="R6" s="959"/>
      <c r="S6" s="959"/>
      <c r="T6" s="959"/>
      <c r="U6" s="959"/>
      <c r="V6" s="959"/>
      <c r="W6" s="959"/>
      <c r="X6" s="959"/>
      <c r="Y6" s="959"/>
      <c r="Z6" s="959"/>
      <c r="AA6" s="959"/>
      <c r="AB6" s="959"/>
      <c r="AC6" s="959"/>
      <c r="AD6" s="959"/>
      <c r="AE6" s="959"/>
      <c r="AF6" s="959"/>
      <c r="AG6" s="959"/>
      <c r="AH6" s="959"/>
    </row>
    <row r="7" spans="1:34" ht="12" customHeight="1" x14ac:dyDescent="0.2">
      <c r="A7" s="959"/>
      <c r="B7" s="959"/>
      <c r="C7" s="960" t="s">
        <v>945</v>
      </c>
      <c r="D7" s="978"/>
      <c r="E7" s="7" t="s">
        <v>755</v>
      </c>
      <c r="F7" s="965">
        <v>1.7966666666666669</v>
      </c>
      <c r="G7" s="7" t="s">
        <v>740</v>
      </c>
      <c r="H7" s="964">
        <f t="shared" si="0"/>
        <v>0</v>
      </c>
      <c r="I7" s="7" t="s">
        <v>740</v>
      </c>
      <c r="J7" s="964">
        <f t="shared" si="1"/>
        <v>0</v>
      </c>
      <c r="K7" s="959"/>
      <c r="L7" s="959"/>
      <c r="M7" s="959"/>
      <c r="N7" s="959"/>
      <c r="O7" s="240" t="s">
        <v>438</v>
      </c>
      <c r="P7" s="241">
        <f>Summary!E5</f>
        <v>27.9</v>
      </c>
      <c r="Q7" s="959"/>
      <c r="R7" s="959"/>
      <c r="S7" s="959"/>
      <c r="T7" s="959"/>
      <c r="U7" s="959"/>
      <c r="V7" s="959"/>
      <c r="W7" s="959"/>
      <c r="X7" s="959"/>
      <c r="Y7" s="959"/>
      <c r="Z7" s="959"/>
      <c r="AA7" s="959"/>
      <c r="AB7" s="959"/>
      <c r="AC7" s="959"/>
      <c r="AD7" s="959"/>
      <c r="AE7" s="959"/>
      <c r="AF7" s="959"/>
      <c r="AG7" s="959"/>
      <c r="AH7" s="959"/>
    </row>
    <row r="8" spans="1:34" ht="15" customHeight="1" thickBot="1" x14ac:dyDescent="0.35">
      <c r="A8" s="24"/>
      <c r="B8" s="566"/>
      <c r="C8" s="1736"/>
      <c r="D8" s="1736"/>
      <c r="E8" s="1736"/>
      <c r="F8" s="1736"/>
      <c r="G8" s="1736"/>
      <c r="H8" s="1736"/>
      <c r="I8" s="1736"/>
      <c r="J8" s="1736"/>
      <c r="K8" s="1736"/>
      <c r="L8" s="1736"/>
      <c r="M8" s="24"/>
      <c r="N8" s="24"/>
      <c r="O8" s="240" t="s">
        <v>444</v>
      </c>
      <c r="P8" s="241">
        <f>Summary!E6</f>
        <v>273</v>
      </c>
      <c r="Q8" s="24"/>
      <c r="R8" s="24"/>
      <c r="S8" s="24"/>
      <c r="T8" s="24"/>
      <c r="U8" s="24"/>
      <c r="V8" s="24"/>
      <c r="W8" s="24"/>
      <c r="X8" s="24"/>
      <c r="Y8" s="24"/>
      <c r="Z8" s="24"/>
      <c r="AA8" s="24"/>
      <c r="AB8" s="24"/>
      <c r="AC8" s="24"/>
      <c r="AD8" s="24"/>
      <c r="AE8" s="24"/>
      <c r="AF8" s="24"/>
      <c r="AG8" s="24"/>
      <c r="AH8" s="24"/>
    </row>
    <row r="9" spans="1:34" ht="21" customHeight="1" x14ac:dyDescent="0.4">
      <c r="A9" s="24"/>
      <c r="B9" s="566"/>
      <c r="C9" s="1747" t="s">
        <v>949</v>
      </c>
      <c r="D9" s="1748"/>
      <c r="E9" s="1748"/>
      <c r="F9" s="1748"/>
      <c r="G9" s="1748"/>
      <c r="H9" s="1748"/>
      <c r="I9" s="1748"/>
      <c r="J9" s="1748"/>
      <c r="K9" s="1736"/>
      <c r="L9" s="1736"/>
      <c r="M9" s="24"/>
      <c r="N9" s="24"/>
      <c r="O9" s="1749" t="s">
        <v>447</v>
      </c>
      <c r="P9" s="1750">
        <f>Summary!E7</f>
        <v>24300</v>
      </c>
      <c r="Q9" s="24"/>
      <c r="R9" s="24"/>
      <c r="S9" s="24"/>
      <c r="T9" s="24"/>
      <c r="U9" s="24"/>
      <c r="V9" s="24"/>
      <c r="W9" s="24"/>
      <c r="X9" s="24"/>
      <c r="Y9" s="24"/>
      <c r="Z9" s="24"/>
      <c r="AA9" s="24"/>
      <c r="AB9" s="24"/>
      <c r="AC9" s="24"/>
      <c r="AD9" s="24"/>
      <c r="AE9" s="24"/>
      <c r="AF9" s="24"/>
      <c r="AG9" s="24"/>
      <c r="AH9" s="24"/>
    </row>
    <row r="10" spans="1:34" ht="36" customHeight="1" x14ac:dyDescent="0.2">
      <c r="A10" s="959"/>
      <c r="B10" s="982"/>
      <c r="C10" s="1741"/>
      <c r="D10" s="1742" t="s">
        <v>950</v>
      </c>
      <c r="E10" s="1743"/>
      <c r="F10" s="1742" t="s">
        <v>932</v>
      </c>
      <c r="G10" s="1741"/>
      <c r="H10" s="1742" t="s">
        <v>833</v>
      </c>
      <c r="I10" s="1741"/>
      <c r="J10" s="1742" t="s">
        <v>933</v>
      </c>
      <c r="K10" s="1735"/>
      <c r="L10" s="1735"/>
      <c r="M10" s="959"/>
      <c r="N10" s="959"/>
      <c r="O10" s="1751"/>
      <c r="P10" s="1752"/>
      <c r="Q10" s="959"/>
      <c r="R10" s="959"/>
      <c r="S10" s="959"/>
      <c r="T10" s="959"/>
      <c r="U10" s="959"/>
      <c r="V10" s="959"/>
      <c r="W10" s="959"/>
      <c r="X10" s="959"/>
      <c r="Y10" s="959"/>
      <c r="Z10" s="959"/>
      <c r="AA10" s="959"/>
      <c r="AB10" s="959"/>
      <c r="AC10" s="959"/>
      <c r="AD10" s="959"/>
      <c r="AE10" s="959"/>
      <c r="AF10" s="959"/>
      <c r="AG10" s="959"/>
      <c r="AH10" s="959"/>
    </row>
    <row r="11" spans="1:34" ht="12" customHeight="1" x14ac:dyDescent="0.2">
      <c r="A11" s="959"/>
      <c r="B11" s="982"/>
      <c r="C11" s="1741" t="s">
        <v>953</v>
      </c>
      <c r="D11" s="1744">
        <v>0</v>
      </c>
      <c r="E11" s="1745" t="s">
        <v>755</v>
      </c>
      <c r="F11" s="1746">
        <v>9.74E-2</v>
      </c>
      <c r="G11" s="1745" t="s">
        <v>740</v>
      </c>
      <c r="H11" s="1744">
        <f t="shared" ref="H11:H12" si="2">J11*12/44</f>
        <v>0</v>
      </c>
      <c r="I11" s="1745" t="s">
        <v>740</v>
      </c>
      <c r="J11" s="1744">
        <f t="shared" ref="J11:J12" si="3">IF(ISERROR(D11*F11),0,D11*F11)</f>
        <v>0</v>
      </c>
      <c r="K11" s="1735"/>
      <c r="L11" s="1735"/>
      <c r="M11" s="959"/>
      <c r="N11" s="959"/>
      <c r="O11" s="959"/>
      <c r="P11" s="959"/>
      <c r="Q11" s="959"/>
      <c r="R11" s="959"/>
      <c r="S11" s="959"/>
      <c r="T11" s="959"/>
      <c r="U11" s="959"/>
      <c r="V11" s="959"/>
      <c r="W11" s="959"/>
      <c r="X11" s="959"/>
      <c r="Y11" s="959"/>
      <c r="Z11" s="959"/>
      <c r="AA11" s="959"/>
      <c r="AB11" s="959"/>
      <c r="AC11" s="959"/>
      <c r="AD11" s="959"/>
      <c r="AE11" s="959"/>
      <c r="AF11" s="959"/>
      <c r="AG11" s="959"/>
      <c r="AH11" s="959"/>
    </row>
    <row r="12" spans="1:34" ht="12" customHeight="1" x14ac:dyDescent="0.2">
      <c r="A12" s="959"/>
      <c r="B12" s="982"/>
      <c r="C12" s="1741" t="s">
        <v>351</v>
      </c>
      <c r="D12" s="1744">
        <v>114725.34958283848</v>
      </c>
      <c r="E12" s="1745" t="s">
        <v>755</v>
      </c>
      <c r="F12" s="1746">
        <v>0.41499999999999998</v>
      </c>
      <c r="G12" s="1745" t="s">
        <v>740</v>
      </c>
      <c r="H12" s="1744">
        <f t="shared" si="2"/>
        <v>12984.823657330357</v>
      </c>
      <c r="I12" s="1745" t="s">
        <v>740</v>
      </c>
      <c r="J12" s="1744">
        <f t="shared" si="3"/>
        <v>47611.020076877969</v>
      </c>
      <c r="K12" s="1735"/>
      <c r="L12" s="1735"/>
      <c r="M12" s="959"/>
      <c r="N12" s="959"/>
      <c r="O12" s="959"/>
      <c r="P12" s="959"/>
      <c r="Q12" s="959"/>
      <c r="R12" s="959"/>
      <c r="S12" s="959"/>
      <c r="T12" s="959"/>
      <c r="U12" s="959"/>
      <c r="V12" s="959"/>
      <c r="W12" s="959"/>
      <c r="X12" s="959"/>
      <c r="Y12" s="959"/>
      <c r="Z12" s="959"/>
      <c r="AA12" s="959"/>
      <c r="AB12" s="959"/>
      <c r="AC12" s="959"/>
      <c r="AD12" s="959"/>
      <c r="AE12" s="959"/>
      <c r="AF12" s="959"/>
      <c r="AG12" s="959"/>
      <c r="AH12" s="959"/>
    </row>
    <row r="13" spans="1:34" ht="15" customHeight="1" x14ac:dyDescent="0.3">
      <c r="A13" s="24"/>
      <c r="B13" s="566"/>
      <c r="C13" s="74"/>
      <c r="D13" s="74"/>
      <c r="E13" s="74"/>
      <c r="F13" s="74"/>
      <c r="G13" s="74"/>
      <c r="H13" s="74"/>
      <c r="I13" s="74"/>
      <c r="J13" s="74"/>
      <c r="K13" s="74"/>
      <c r="L13" s="74"/>
      <c r="M13" s="24"/>
      <c r="N13" s="24"/>
      <c r="O13" s="24"/>
      <c r="P13" s="24"/>
      <c r="Q13" s="24"/>
      <c r="R13" s="24"/>
      <c r="S13" s="24"/>
      <c r="T13" s="24"/>
      <c r="U13" s="24"/>
      <c r="V13" s="24"/>
      <c r="W13" s="24"/>
      <c r="X13" s="24"/>
      <c r="Y13" s="24"/>
      <c r="Z13" s="24"/>
      <c r="AA13" s="24"/>
      <c r="AB13" s="24"/>
      <c r="AC13" s="24"/>
      <c r="AD13" s="24"/>
      <c r="AE13" s="24"/>
      <c r="AF13" s="24"/>
      <c r="AG13" s="24"/>
      <c r="AH13" s="24"/>
    </row>
    <row r="14" spans="1:34" ht="21" customHeight="1" x14ac:dyDescent="0.4">
      <c r="A14" s="24"/>
      <c r="B14" s="566"/>
      <c r="C14" s="11" t="s">
        <v>956</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row>
    <row r="15" spans="1:34" ht="36" customHeight="1" x14ac:dyDescent="0.2">
      <c r="A15" s="959"/>
      <c r="B15" s="982"/>
      <c r="C15" s="960"/>
      <c r="D15" s="963" t="s">
        <v>957</v>
      </c>
      <c r="E15" s="962"/>
      <c r="F15" s="963" t="s">
        <v>958</v>
      </c>
      <c r="G15" s="960"/>
      <c r="H15" s="963" t="s">
        <v>959</v>
      </c>
      <c r="I15" s="960"/>
      <c r="J15" s="963" t="s">
        <v>833</v>
      </c>
      <c r="K15" s="960"/>
      <c r="L15" s="963" t="s">
        <v>933</v>
      </c>
      <c r="M15" s="959"/>
      <c r="N15" s="959"/>
      <c r="O15" s="959"/>
      <c r="P15" s="959"/>
      <c r="Q15" s="959"/>
      <c r="R15" s="959"/>
      <c r="S15" s="1735"/>
      <c r="T15" s="1737"/>
      <c r="U15" s="1737"/>
      <c r="V15" s="1737"/>
      <c r="W15" s="1737"/>
      <c r="X15" s="1737"/>
      <c r="Y15" s="1737"/>
      <c r="Z15" s="1737"/>
      <c r="AA15" s="1737"/>
      <c r="AB15" s="1737"/>
      <c r="AC15" s="1737"/>
      <c r="AD15" s="1737"/>
      <c r="AE15" s="1737"/>
      <c r="AF15" s="1737"/>
      <c r="AG15" s="1737"/>
      <c r="AH15" s="1737"/>
    </row>
    <row r="16" spans="1:34" ht="12" customHeight="1" x14ac:dyDescent="0.2">
      <c r="A16" s="959"/>
      <c r="B16" s="982"/>
      <c r="C16" s="989" t="s">
        <v>960</v>
      </c>
      <c r="D16" s="964">
        <v>0</v>
      </c>
      <c r="E16" s="7" t="s">
        <v>755</v>
      </c>
      <c r="F16" s="990">
        <v>1.2</v>
      </c>
      <c r="G16" s="7" t="s">
        <v>891</v>
      </c>
      <c r="H16" s="964">
        <f>D17*F17</f>
        <v>626.98079697975709</v>
      </c>
      <c r="I16" s="7" t="s">
        <v>892</v>
      </c>
      <c r="J16" s="964">
        <f t="shared" ref="J16:J17" si="4">L16*12/44</f>
        <v>0</v>
      </c>
      <c r="K16" s="7" t="s">
        <v>740</v>
      </c>
      <c r="L16" s="964">
        <f>IF(D16&gt;0,D16*F16-(H16),0)</f>
        <v>0</v>
      </c>
      <c r="M16" s="959"/>
      <c r="N16" s="959"/>
      <c r="O16" s="959"/>
      <c r="P16" s="959"/>
      <c r="Q16" s="959"/>
      <c r="R16" s="959"/>
      <c r="S16" s="1738"/>
      <c r="T16" s="1738"/>
      <c r="U16" s="1738"/>
      <c r="V16" s="1738"/>
      <c r="W16" s="1738"/>
      <c r="X16" s="1738"/>
      <c r="Y16" s="1738"/>
      <c r="Z16" s="1738"/>
      <c r="AA16" s="1738"/>
      <c r="AB16" s="1738"/>
      <c r="AC16" s="1738"/>
      <c r="AD16" s="1738"/>
      <c r="AE16" s="1738"/>
      <c r="AF16" s="1738"/>
      <c r="AG16" s="1738"/>
      <c r="AH16" s="1738"/>
    </row>
    <row r="17" spans="1:34" ht="12" customHeight="1" x14ac:dyDescent="0.2">
      <c r="A17" s="959"/>
      <c r="B17" s="982"/>
      <c r="C17" s="989" t="s">
        <v>961</v>
      </c>
      <c r="D17" s="964">
        <v>858.87780408185904</v>
      </c>
      <c r="E17" s="7"/>
      <c r="F17" s="991">
        <v>0.73</v>
      </c>
      <c r="G17" s="7"/>
      <c r="H17" s="7"/>
      <c r="I17" s="7" t="s">
        <v>962</v>
      </c>
      <c r="J17" s="964">
        <f t="shared" si="4"/>
        <v>170.99476281266104</v>
      </c>
      <c r="K17" s="7" t="s">
        <v>740</v>
      </c>
      <c r="L17" s="964">
        <f>D17*F17</f>
        <v>626.98079697975709</v>
      </c>
      <c r="M17" s="959"/>
      <c r="N17" s="959"/>
      <c r="O17" s="959"/>
      <c r="P17" s="959"/>
      <c r="Q17" s="959"/>
      <c r="R17" s="959"/>
      <c r="S17" s="1739"/>
      <c r="T17" s="1740"/>
      <c r="U17" s="1740"/>
      <c r="V17" s="1740"/>
      <c r="W17" s="1740"/>
      <c r="X17" s="1740"/>
      <c r="Y17" s="1740"/>
      <c r="Z17" s="1740"/>
      <c r="AA17" s="1740"/>
      <c r="AB17" s="1740"/>
      <c r="AC17" s="1740"/>
      <c r="AD17" s="1740"/>
      <c r="AE17" s="1740"/>
      <c r="AF17" s="1740"/>
      <c r="AG17" s="1740"/>
      <c r="AH17" s="1740"/>
    </row>
    <row r="18" spans="1:34" ht="15" customHeight="1" x14ac:dyDescent="0.3">
      <c r="A18" s="24"/>
      <c r="B18" s="566"/>
      <c r="C18" s="74"/>
      <c r="D18" s="74"/>
      <c r="E18" s="74"/>
      <c r="F18" s="74"/>
      <c r="G18" s="74"/>
      <c r="H18" s="74"/>
      <c r="I18" s="74"/>
      <c r="J18" s="74"/>
      <c r="K18" s="74"/>
      <c r="L18" s="74"/>
      <c r="M18" s="24"/>
      <c r="N18" s="24"/>
      <c r="O18" s="24"/>
      <c r="P18" s="24"/>
      <c r="Q18" s="24"/>
      <c r="R18" s="24"/>
      <c r="S18" s="1739"/>
      <c r="T18" s="1740"/>
      <c r="U18" s="1740"/>
      <c r="V18" s="1740"/>
      <c r="W18" s="1740"/>
      <c r="X18" s="1740"/>
      <c r="Y18" s="1740"/>
      <c r="Z18" s="1740"/>
      <c r="AA18" s="1740"/>
      <c r="AB18" s="1740"/>
      <c r="AC18" s="1740"/>
      <c r="AD18" s="1740"/>
      <c r="AE18" s="1740"/>
      <c r="AF18" s="1740"/>
      <c r="AG18" s="1740"/>
      <c r="AH18" s="1740"/>
    </row>
    <row r="19" spans="1:34" ht="15" customHeight="1" x14ac:dyDescent="0.3">
      <c r="A19" s="24"/>
      <c r="B19" s="566"/>
      <c r="C19" s="74"/>
      <c r="D19" s="74"/>
      <c r="E19" s="74"/>
      <c r="F19" s="74"/>
      <c r="G19" s="74"/>
      <c r="H19" s="74"/>
      <c r="I19" s="74"/>
      <c r="J19" s="74"/>
      <c r="K19" s="74"/>
      <c r="L19" s="74"/>
      <c r="M19" s="24"/>
      <c r="N19" s="24"/>
      <c r="O19" s="24"/>
      <c r="P19" s="24"/>
      <c r="Q19" s="24"/>
      <c r="R19" s="24"/>
      <c r="S19" s="1736"/>
      <c r="T19" s="1736"/>
      <c r="U19" s="1736"/>
      <c r="V19" s="1736"/>
      <c r="W19" s="1736"/>
      <c r="X19" s="1736"/>
      <c r="Y19" s="1736"/>
      <c r="Z19" s="1736"/>
      <c r="AA19" s="1736"/>
      <c r="AB19" s="1736"/>
      <c r="AC19" s="1736"/>
      <c r="AD19" s="1736"/>
      <c r="AE19" s="1736"/>
      <c r="AF19" s="1736"/>
      <c r="AG19" s="1736"/>
      <c r="AH19" s="1736"/>
    </row>
    <row r="20" spans="1:34" ht="21" customHeight="1" x14ac:dyDescent="0.4">
      <c r="A20" s="24"/>
      <c r="B20" s="566"/>
      <c r="C20" s="11" t="s">
        <v>964</v>
      </c>
      <c r="D20" s="24"/>
      <c r="E20" s="24"/>
      <c r="F20" s="24"/>
      <c r="G20" s="24"/>
      <c r="H20" s="24"/>
      <c r="I20" s="24"/>
      <c r="J20" s="24"/>
      <c r="K20" s="24"/>
      <c r="L20" s="24"/>
      <c r="M20" s="24"/>
      <c r="N20" s="24"/>
      <c r="O20" s="24"/>
      <c r="P20" s="24"/>
      <c r="Q20" s="24"/>
      <c r="R20" s="24"/>
      <c r="S20" s="1736"/>
      <c r="T20" s="1736"/>
      <c r="U20" s="1736"/>
      <c r="V20" s="1736"/>
      <c r="W20" s="1736"/>
      <c r="X20" s="1736"/>
      <c r="Y20" s="1736"/>
      <c r="Z20" s="1736"/>
      <c r="AA20" s="1736"/>
      <c r="AB20" s="1736"/>
      <c r="AC20" s="1736"/>
      <c r="AD20" s="1736"/>
      <c r="AE20" s="1736"/>
      <c r="AF20" s="1736"/>
      <c r="AG20" s="1736"/>
      <c r="AH20" s="1736"/>
    </row>
    <row r="21" spans="1:34" ht="36" customHeight="1" x14ac:dyDescent="0.2">
      <c r="A21" s="959"/>
      <c r="B21" s="982"/>
      <c r="C21" s="960"/>
      <c r="D21" s="961" t="s">
        <v>965</v>
      </c>
      <c r="E21" s="993"/>
      <c r="F21" s="961" t="s">
        <v>966</v>
      </c>
      <c r="G21" s="994"/>
      <c r="H21" s="961" t="s">
        <v>967</v>
      </c>
      <c r="I21" s="994"/>
      <c r="J21" s="993" t="s">
        <v>356</v>
      </c>
      <c r="K21" s="994"/>
      <c r="L21" s="961" t="s">
        <v>933</v>
      </c>
      <c r="M21" s="959"/>
      <c r="N21" s="959"/>
      <c r="O21" s="959"/>
      <c r="P21" s="959"/>
      <c r="Q21" s="959"/>
      <c r="R21" s="959"/>
      <c r="S21" s="959"/>
      <c r="T21" s="959"/>
      <c r="U21" s="959"/>
      <c r="V21" s="959"/>
      <c r="W21" s="959"/>
      <c r="X21" s="959"/>
      <c r="Y21" s="959"/>
      <c r="Z21" s="959"/>
      <c r="AA21" s="959"/>
      <c r="AB21" s="959"/>
      <c r="AC21" s="959"/>
      <c r="AD21" s="959"/>
      <c r="AE21" s="959"/>
      <c r="AF21" s="959"/>
      <c r="AG21" s="959"/>
      <c r="AH21" s="959"/>
    </row>
    <row r="22" spans="1:34" ht="12" customHeight="1" x14ac:dyDescent="0.2">
      <c r="A22" s="959"/>
      <c r="B22" s="982"/>
      <c r="C22" s="7">
        <v>2006</v>
      </c>
      <c r="D22" s="978">
        <v>9.5072211500670711</v>
      </c>
      <c r="E22" s="7" t="s">
        <v>755</v>
      </c>
      <c r="F22" s="990">
        <v>1</v>
      </c>
      <c r="G22" s="7" t="s">
        <v>740</v>
      </c>
      <c r="H22" s="964">
        <f>IF(ISERROR(D22*F22), ,D22*F22)</f>
        <v>9.5072211500670711</v>
      </c>
      <c r="I22" s="7" t="s">
        <v>740</v>
      </c>
      <c r="J22" s="964">
        <f>H22*$P$9*12/44</f>
        <v>63006.947439989955</v>
      </c>
      <c r="K22" s="7" t="s">
        <v>740</v>
      </c>
      <c r="L22" s="964">
        <f>J22/(12/44)</f>
        <v>231025.47394662985</v>
      </c>
      <c r="M22" s="959"/>
      <c r="N22" s="959"/>
      <c r="O22" s="959"/>
      <c r="P22" s="959"/>
      <c r="Q22" s="959"/>
      <c r="R22" s="959"/>
      <c r="S22" s="959"/>
      <c r="T22" s="959"/>
      <c r="U22" s="959"/>
      <c r="V22" s="959"/>
      <c r="W22" s="959"/>
      <c r="X22" s="959"/>
      <c r="Y22" s="959"/>
      <c r="Z22" s="959"/>
      <c r="AA22" s="959"/>
      <c r="AB22" s="959"/>
      <c r="AC22" s="959"/>
      <c r="AD22" s="959"/>
      <c r="AE22" s="959"/>
      <c r="AF22" s="959"/>
      <c r="AG22" s="959"/>
      <c r="AH22" s="959"/>
    </row>
    <row r="23" spans="1:34" ht="15" customHeight="1" x14ac:dyDescent="0.3">
      <c r="A23" s="24"/>
      <c r="B23" s="566"/>
      <c r="C23" s="74"/>
      <c r="D23" s="74"/>
      <c r="E23" s="74"/>
      <c r="F23" s="74"/>
      <c r="G23" s="74"/>
      <c r="H23" s="74"/>
      <c r="I23" s="74"/>
      <c r="J23" s="74"/>
      <c r="K23" s="74"/>
      <c r="L23" s="74"/>
      <c r="M23" s="24"/>
      <c r="N23" s="24"/>
      <c r="O23" s="24"/>
      <c r="P23" s="24"/>
      <c r="Q23" s="24"/>
      <c r="R23" s="24"/>
      <c r="S23" s="24"/>
      <c r="T23" s="24"/>
      <c r="U23" s="24"/>
      <c r="V23" s="24"/>
      <c r="W23" s="24"/>
      <c r="X23" s="24"/>
      <c r="Y23" s="24"/>
      <c r="Z23" s="24"/>
      <c r="AA23" s="24"/>
      <c r="AB23" s="24"/>
      <c r="AC23" s="24"/>
      <c r="AD23" s="24"/>
      <c r="AE23" s="24"/>
      <c r="AF23" s="24"/>
      <c r="AG23" s="24"/>
      <c r="AH23" s="24"/>
    </row>
    <row r="24" spans="1:34" ht="15" customHeight="1" x14ac:dyDescent="0.3">
      <c r="A24" s="24"/>
      <c r="B24" s="566"/>
      <c r="C24" s="74"/>
      <c r="D24" s="74"/>
      <c r="E24" s="74"/>
      <c r="F24" s="74"/>
      <c r="G24" s="74"/>
      <c r="H24" s="74"/>
      <c r="I24" s="74"/>
      <c r="J24" s="74"/>
      <c r="K24" s="74"/>
      <c r="L24" s="74"/>
      <c r="M24" s="24"/>
      <c r="N24" s="24"/>
      <c r="O24" s="24"/>
      <c r="P24" s="24"/>
      <c r="Q24" s="24"/>
      <c r="R24" s="24"/>
      <c r="S24" s="24"/>
      <c r="T24" s="24"/>
      <c r="U24" s="24"/>
      <c r="V24" s="24"/>
      <c r="W24" s="24"/>
      <c r="X24" s="24"/>
      <c r="Y24" s="24"/>
      <c r="Z24" s="24"/>
      <c r="AA24" s="24"/>
      <c r="AB24" s="24"/>
      <c r="AC24" s="24"/>
      <c r="AD24" s="24"/>
      <c r="AE24" s="24"/>
      <c r="AF24" s="24"/>
      <c r="AG24" s="24"/>
      <c r="AH24" s="24"/>
    </row>
    <row r="25" spans="1:34" ht="21" customHeight="1" x14ac:dyDescent="0.4">
      <c r="A25" s="24"/>
      <c r="B25" s="566"/>
      <c r="C25" s="11" t="s">
        <v>968</v>
      </c>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row>
    <row r="26" spans="1:34" ht="36" customHeight="1" x14ac:dyDescent="0.2">
      <c r="A26" s="959"/>
      <c r="B26" s="982"/>
      <c r="C26" s="960"/>
      <c r="D26" s="961" t="s">
        <v>969</v>
      </c>
      <c r="E26" s="993"/>
      <c r="F26" s="961" t="s">
        <v>970</v>
      </c>
      <c r="G26" s="994"/>
      <c r="H26" s="960"/>
      <c r="I26" s="960"/>
      <c r="J26" s="961" t="s">
        <v>833</v>
      </c>
      <c r="K26" s="994"/>
      <c r="L26" s="961" t="s">
        <v>933</v>
      </c>
      <c r="M26" s="959"/>
      <c r="N26" s="959"/>
      <c r="O26" s="959"/>
      <c r="P26" s="959"/>
      <c r="Q26" s="959"/>
      <c r="R26" s="959"/>
      <c r="S26" s="959"/>
      <c r="T26" s="959"/>
      <c r="U26" s="959"/>
      <c r="V26" s="959"/>
      <c r="W26" s="959"/>
      <c r="X26" s="959"/>
      <c r="Y26" s="959"/>
      <c r="Z26" s="959"/>
      <c r="AA26" s="959"/>
      <c r="AB26" s="959"/>
      <c r="AC26" s="959"/>
      <c r="AD26" s="959"/>
      <c r="AE26" s="959"/>
      <c r="AF26" s="959"/>
      <c r="AG26" s="959"/>
      <c r="AH26" s="959"/>
    </row>
    <row r="27" spans="1:34" ht="12" customHeight="1" x14ac:dyDescent="0.2">
      <c r="A27" s="959"/>
      <c r="B27" s="982"/>
      <c r="C27" s="7">
        <v>2006</v>
      </c>
      <c r="D27" s="995">
        <v>0</v>
      </c>
      <c r="E27" s="883" t="s">
        <v>755</v>
      </c>
      <c r="F27" s="885">
        <v>0.42545454545454542</v>
      </c>
      <c r="G27" s="887" t="s">
        <v>740</v>
      </c>
      <c r="H27" s="960"/>
      <c r="I27" s="960"/>
      <c r="J27" s="304">
        <f>IF(ISERROR(D27*F27),0,D27*F27)</f>
        <v>0</v>
      </c>
      <c r="K27" s="887" t="s">
        <v>740</v>
      </c>
      <c r="L27" s="304">
        <f>J27/(12/44)</f>
        <v>0</v>
      </c>
      <c r="M27" s="959"/>
      <c r="N27" s="959"/>
      <c r="O27" s="959"/>
      <c r="P27" s="959"/>
      <c r="Q27" s="959"/>
      <c r="R27" s="959"/>
      <c r="S27" s="959"/>
      <c r="T27" s="959"/>
      <c r="U27" s="959"/>
      <c r="V27" s="959"/>
      <c r="W27" s="959"/>
      <c r="X27" s="959"/>
      <c r="Y27" s="959"/>
      <c r="Z27" s="959"/>
      <c r="AA27" s="959"/>
      <c r="AB27" s="959"/>
      <c r="AC27" s="959"/>
      <c r="AD27" s="959"/>
      <c r="AE27" s="959"/>
      <c r="AF27" s="959"/>
      <c r="AG27" s="959"/>
      <c r="AH27" s="959"/>
    </row>
    <row r="28" spans="1:34" ht="15" customHeight="1" x14ac:dyDescent="0.3">
      <c r="A28" s="24"/>
      <c r="B28" s="566"/>
      <c r="C28" s="74"/>
      <c r="D28" s="74"/>
      <c r="E28" s="74"/>
      <c r="F28" s="74"/>
      <c r="G28" s="74"/>
      <c r="H28" s="74"/>
      <c r="I28" s="74"/>
      <c r="J28" s="74"/>
      <c r="K28" s="74"/>
      <c r="L28" s="74"/>
      <c r="M28" s="24"/>
      <c r="N28" s="24"/>
      <c r="O28" s="24"/>
      <c r="P28" s="24"/>
      <c r="Q28" s="24"/>
      <c r="R28" s="24"/>
      <c r="S28" s="24"/>
      <c r="T28" s="24"/>
      <c r="U28" s="24"/>
      <c r="V28" s="24"/>
      <c r="W28" s="24"/>
      <c r="X28" s="24"/>
      <c r="Y28" s="24"/>
      <c r="Z28" s="24"/>
      <c r="AA28" s="24"/>
      <c r="AB28" s="24"/>
      <c r="AC28" s="24"/>
      <c r="AD28" s="24"/>
      <c r="AE28" s="24"/>
      <c r="AF28" s="24"/>
      <c r="AG28" s="24"/>
      <c r="AH28" s="24"/>
    </row>
    <row r="29" spans="1:34" ht="14.25" customHeight="1" x14ac:dyDescent="0.3">
      <c r="A29" s="24"/>
      <c r="B29" s="566"/>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row>
    <row r="30" spans="1:34" ht="14.25" customHeight="1" x14ac:dyDescent="0.3">
      <c r="A30" s="24"/>
      <c r="B30" s="566"/>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row>
    <row r="31" spans="1:34" ht="14.25" customHeight="1" x14ac:dyDescent="0.3">
      <c r="A31" s="24"/>
      <c r="B31" s="566"/>
      <c r="C31" s="288"/>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row>
    <row r="32" spans="1:34" ht="14.25" customHeight="1" x14ac:dyDescent="0.3">
      <c r="A32" s="24"/>
      <c r="B32" s="566"/>
      <c r="C32" s="288"/>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row>
    <row r="33" spans="1:34" ht="14.25" customHeight="1" x14ac:dyDescent="0.3">
      <c r="A33" s="24"/>
      <c r="B33" s="566"/>
      <c r="C33" s="288"/>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row>
    <row r="34" spans="1:34" ht="15" customHeight="1" x14ac:dyDescent="0.3">
      <c r="B34" s="288"/>
      <c r="C34" s="1015"/>
      <c r="D34" s="1016">
        <v>2006</v>
      </c>
    </row>
    <row r="35" spans="1:34" ht="12.75" customHeight="1" x14ac:dyDescent="0.25">
      <c r="B35" s="288"/>
      <c r="C35" s="1017" t="s">
        <v>977</v>
      </c>
      <c r="D35" s="1019">
        <f>D36+D37+D38+D39+D40+D41</f>
        <v>162179.19245919332</v>
      </c>
    </row>
    <row r="36" spans="1:34" ht="12.75" customHeight="1" x14ac:dyDescent="0.25">
      <c r="B36" s="288"/>
      <c r="C36" s="1021" t="s">
        <v>346</v>
      </c>
      <c r="D36" s="590">
        <v>0</v>
      </c>
    </row>
    <row r="37" spans="1:34" ht="12.75" customHeight="1" x14ac:dyDescent="0.25">
      <c r="B37" s="288"/>
      <c r="C37" s="1021" t="s">
        <v>979</v>
      </c>
      <c r="D37" s="590">
        <v>0</v>
      </c>
    </row>
    <row r="38" spans="1:34" ht="12.75" customHeight="1" x14ac:dyDescent="0.25">
      <c r="B38" s="288"/>
      <c r="C38" s="1021" t="s">
        <v>930</v>
      </c>
      <c r="D38" s="590">
        <f>J5</f>
        <v>113941.19158533559</v>
      </c>
    </row>
    <row r="39" spans="1:34" ht="12.75" customHeight="1" x14ac:dyDescent="0.25">
      <c r="B39" s="288"/>
      <c r="C39" s="1021" t="s">
        <v>981</v>
      </c>
      <c r="D39" s="590">
        <f>J12</f>
        <v>47611.020076877969</v>
      </c>
    </row>
    <row r="40" spans="1:34" ht="12.75" customHeight="1" x14ac:dyDescent="0.25">
      <c r="B40" s="288"/>
      <c r="C40" s="1021" t="s">
        <v>983</v>
      </c>
      <c r="D40" s="590">
        <f>L17</f>
        <v>626.98079697975709</v>
      </c>
    </row>
    <row r="41" spans="1:34" ht="13.5" customHeight="1" x14ac:dyDescent="0.25">
      <c r="B41" s="288"/>
      <c r="C41" s="1021" t="s">
        <v>988</v>
      </c>
      <c r="D41" s="590">
        <v>0</v>
      </c>
    </row>
    <row r="42" spans="1:34" ht="12.75" customHeight="1" x14ac:dyDescent="0.25">
      <c r="B42" s="288"/>
      <c r="C42" s="1030" t="s">
        <v>990</v>
      </c>
      <c r="D42" s="1034">
        <f>D43+D44</f>
        <v>0</v>
      </c>
    </row>
    <row r="43" spans="1:34" ht="12.75" customHeight="1" x14ac:dyDescent="0.25">
      <c r="B43" s="288"/>
      <c r="C43" s="1021" t="s">
        <v>992</v>
      </c>
      <c r="D43" s="590">
        <v>0</v>
      </c>
    </row>
    <row r="44" spans="1:34" ht="13.5" customHeight="1" x14ac:dyDescent="0.25">
      <c r="B44" s="288"/>
      <c r="C44" s="1021" t="s">
        <v>994</v>
      </c>
      <c r="D44" s="590">
        <v>0</v>
      </c>
    </row>
    <row r="45" spans="1:34" ht="12.75" customHeight="1" x14ac:dyDescent="0.25">
      <c r="B45" s="288"/>
      <c r="C45" s="1041" t="s">
        <v>995</v>
      </c>
      <c r="D45" s="1043">
        <f>D46+D47+D48+D49+D50</f>
        <v>231025.47394662985</v>
      </c>
    </row>
    <row r="46" spans="1:34" ht="12.75" customHeight="1" x14ac:dyDescent="0.25">
      <c r="B46" s="288"/>
      <c r="C46" s="1021" t="s">
        <v>410</v>
      </c>
      <c r="D46" s="590">
        <v>0</v>
      </c>
    </row>
    <row r="47" spans="1:34" ht="12.75" customHeight="1" x14ac:dyDescent="0.25">
      <c r="B47" s="288"/>
      <c r="C47" s="1021" t="s">
        <v>996</v>
      </c>
      <c r="D47" s="590">
        <v>0</v>
      </c>
    </row>
    <row r="48" spans="1:34" ht="25.5" customHeight="1" x14ac:dyDescent="0.25">
      <c r="B48" s="288"/>
      <c r="C48" s="1046" t="s">
        <v>997</v>
      </c>
      <c r="D48" s="590">
        <f>L22</f>
        <v>231025.47394662985</v>
      </c>
    </row>
    <row r="49" spans="2:4" ht="12.75" customHeight="1" x14ac:dyDescent="0.25">
      <c r="B49" s="288"/>
      <c r="C49" s="1021" t="s">
        <v>998</v>
      </c>
      <c r="D49" s="590">
        <v>0</v>
      </c>
    </row>
    <row r="50" spans="2:4" ht="13.5" customHeight="1" x14ac:dyDescent="0.25">
      <c r="B50" s="288"/>
      <c r="C50" s="1021" t="s">
        <v>424</v>
      </c>
      <c r="D50" s="590">
        <f>L27</f>
        <v>0</v>
      </c>
    </row>
    <row r="51" spans="2:4" ht="15" customHeight="1" x14ac:dyDescent="0.3">
      <c r="B51" s="288"/>
      <c r="C51" s="1047" t="s">
        <v>999</v>
      </c>
      <c r="D51" s="1049">
        <f>D35+D42+D45</f>
        <v>393204.6664058232</v>
      </c>
    </row>
    <row r="52" spans="2:4" ht="11.25" customHeight="1" x14ac:dyDescent="0.2"/>
    <row r="53" spans="2:4" ht="11.25" customHeight="1" x14ac:dyDescent="0.2"/>
    <row r="54" spans="2:4" ht="11.25" customHeight="1" x14ac:dyDescent="0.2"/>
    <row r="55" spans="2:4" ht="11.25" customHeight="1" x14ac:dyDescent="0.2"/>
    <row r="56" spans="2:4" ht="11.25" customHeight="1" x14ac:dyDescent="0.2"/>
    <row r="57" spans="2:4" ht="11.25" customHeight="1" x14ac:dyDescent="0.2"/>
    <row r="58" spans="2:4" ht="11.25" customHeight="1" x14ac:dyDescent="0.2"/>
    <row r="59" spans="2:4" ht="11.25" customHeight="1" x14ac:dyDescent="0.2"/>
    <row r="60" spans="2:4" ht="11.25" customHeight="1" x14ac:dyDescent="0.2"/>
    <row r="61" spans="2:4" ht="11.25" customHeight="1" x14ac:dyDescent="0.2"/>
    <row r="62" spans="2:4" ht="11.25" customHeight="1" x14ac:dyDescent="0.2"/>
    <row r="63" spans="2:4" ht="11.25" customHeight="1" x14ac:dyDescent="0.2"/>
    <row r="64" spans="2: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sheetData>
  <mergeCells count="1">
    <mergeCell ref="O4:P4"/>
  </mergeCells>
  <pageMargins left="0.7" right="0.7" top="0.75" bottom="0.75" header="0" footer="0"/>
  <pageSetup orientation="landscape"/>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E0308-A2B0-4E92-A146-C812DF861199}">
  <dimension ref="A1:AM1000"/>
  <sheetViews>
    <sheetView workbookViewId="0"/>
  </sheetViews>
  <sheetFormatPr defaultColWidth="16.83203125" defaultRowHeight="11.25" x14ac:dyDescent="0.2"/>
  <cols>
    <col min="1" max="1" width="6" customWidth="1"/>
    <col min="2" max="2" width="36.83203125" customWidth="1"/>
    <col min="3" max="3" width="20" customWidth="1"/>
    <col min="4" max="4" width="29.33203125" customWidth="1"/>
    <col min="5" max="39" width="14" customWidth="1"/>
  </cols>
  <sheetData>
    <row r="1" spans="1:39" ht="15"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39" ht="15.75" x14ac:dyDescent="0.25">
      <c r="A2" s="3"/>
      <c r="B2" s="1828" t="s">
        <v>1615</v>
      </c>
      <c r="C2" s="1829"/>
      <c r="D2" s="1829"/>
      <c r="E2" s="1829"/>
      <c r="F2" s="1829"/>
      <c r="G2" s="1829"/>
      <c r="H2" s="1830"/>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ht="1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row>
    <row r="4" spans="1:39" ht="1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row>
    <row r="5" spans="1:39" ht="15" x14ac:dyDescent="0.25">
      <c r="A5" s="3"/>
      <c r="B5" s="1723" t="s">
        <v>1616</v>
      </c>
      <c r="C5" s="1724"/>
      <c r="D5" s="1724"/>
      <c r="E5" s="1724"/>
      <c r="F5" s="1724"/>
      <c r="G5" s="1724"/>
      <c r="H5" s="1724"/>
      <c r="I5" s="1724"/>
      <c r="J5" s="1724"/>
      <c r="K5" s="1724"/>
      <c r="L5" s="1724"/>
      <c r="M5" s="1724"/>
      <c r="N5" s="1724"/>
      <c r="O5" s="1724"/>
      <c r="P5" s="1724"/>
      <c r="Q5" s="1724"/>
      <c r="R5" s="1724"/>
      <c r="S5" s="1724"/>
      <c r="T5" s="1724"/>
      <c r="U5" s="1724"/>
      <c r="V5" s="1724"/>
      <c r="W5" s="1724"/>
      <c r="X5" s="1724"/>
      <c r="Y5" s="1724"/>
      <c r="Z5" s="1724"/>
      <c r="AA5" s="1724"/>
      <c r="AB5" s="1724"/>
      <c r="AC5" s="1724"/>
      <c r="AD5" s="1724"/>
      <c r="AE5" s="1724"/>
      <c r="AF5" s="1724"/>
      <c r="AG5" s="1724"/>
      <c r="AH5" s="1724"/>
      <c r="AI5" s="1724"/>
      <c r="AJ5" s="1724"/>
      <c r="AK5" s="1724"/>
      <c r="AL5" s="1724"/>
      <c r="AM5" s="1725"/>
    </row>
    <row r="6" spans="1:39" ht="15" x14ac:dyDescent="0.25">
      <c r="A6" s="3"/>
      <c r="B6" s="1714" t="s">
        <v>1617</v>
      </c>
      <c r="C6" s="3" t="s">
        <v>1618</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row>
    <row r="7" spans="1:39" ht="15" x14ac:dyDescent="0.25">
      <c r="A7" s="3"/>
      <c r="B7" s="1714" t="s">
        <v>1619</v>
      </c>
      <c r="C7" s="3" t="s">
        <v>1620</v>
      </c>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row>
    <row r="8" spans="1:39" ht="15" x14ac:dyDescent="0.25">
      <c r="A8" s="3"/>
      <c r="B8" s="1714" t="s">
        <v>1621</v>
      </c>
      <c r="C8" s="3" t="s">
        <v>1622</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row>
    <row r="9" spans="1:39" ht="15" x14ac:dyDescent="0.25">
      <c r="A9" s="3"/>
      <c r="B9" s="1714" t="s">
        <v>1623</v>
      </c>
      <c r="C9" s="3" t="s">
        <v>344</v>
      </c>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row>
    <row r="10" spans="1:39" ht="15" x14ac:dyDescent="0.25">
      <c r="A10" s="3"/>
      <c r="B10" s="1714" t="s">
        <v>1624</v>
      </c>
      <c r="C10" s="3" t="s">
        <v>1625</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row>
    <row r="11" spans="1:39" ht="15" x14ac:dyDescent="0.25">
      <c r="A11" s="3"/>
      <c r="B11" s="1714" t="s">
        <v>1626</v>
      </c>
      <c r="C11" s="3" t="s">
        <v>1627</v>
      </c>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row>
    <row r="12" spans="1:39" ht="15" x14ac:dyDescent="0.25">
      <c r="A12" s="3"/>
      <c r="B12" s="1714" t="s">
        <v>1628</v>
      </c>
      <c r="C12" s="3" t="s">
        <v>1473</v>
      </c>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row>
    <row r="13" spans="1:39" ht="15" x14ac:dyDescent="0.25">
      <c r="A13" s="3"/>
      <c r="B13" s="1714" t="s">
        <v>1629</v>
      </c>
      <c r="C13" s="3" t="s">
        <v>1630</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row>
    <row r="14" spans="1:39" ht="15" x14ac:dyDescent="0.2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row>
    <row r="15" spans="1:39" ht="15" x14ac:dyDescent="0.25">
      <c r="A15" s="3"/>
      <c r="B15" s="1714" t="s">
        <v>1631</v>
      </c>
      <c r="C15" s="1714" t="s">
        <v>1632</v>
      </c>
      <c r="D15" s="1714" t="s">
        <v>1633</v>
      </c>
      <c r="E15" s="1714" t="s">
        <v>1634</v>
      </c>
      <c r="F15" s="1714" t="s">
        <v>1635</v>
      </c>
      <c r="G15" s="1714" t="s">
        <v>1636</v>
      </c>
      <c r="H15" s="1714" t="s">
        <v>1637</v>
      </c>
      <c r="I15" s="1714" t="s">
        <v>1638</v>
      </c>
      <c r="J15" s="1714" t="s">
        <v>1639</v>
      </c>
      <c r="K15" s="1714" t="s">
        <v>1640</v>
      </c>
      <c r="L15" s="1714" t="s">
        <v>1641</v>
      </c>
      <c r="M15" s="1714" t="s">
        <v>1642</v>
      </c>
      <c r="N15" s="1714" t="s">
        <v>1643</v>
      </c>
      <c r="O15" s="1714" t="s">
        <v>1644</v>
      </c>
      <c r="P15" s="1714" t="s">
        <v>1645</v>
      </c>
      <c r="Q15" s="1714" t="s">
        <v>1646</v>
      </c>
      <c r="R15" s="1714" t="s">
        <v>1647</v>
      </c>
      <c r="S15" s="1714" t="s">
        <v>1648</v>
      </c>
      <c r="T15" s="1714" t="s">
        <v>1649</v>
      </c>
      <c r="U15" s="1714" t="s">
        <v>1650</v>
      </c>
      <c r="V15" s="1714" t="s">
        <v>1651</v>
      </c>
      <c r="W15" s="1714" t="s">
        <v>1652</v>
      </c>
      <c r="X15" s="1714" t="s">
        <v>1653</v>
      </c>
      <c r="Y15" s="1714" t="s">
        <v>1654</v>
      </c>
      <c r="Z15" s="1714" t="s">
        <v>1655</v>
      </c>
      <c r="AA15" s="1714" t="s">
        <v>1656</v>
      </c>
      <c r="AB15" s="1714" t="s">
        <v>1657</v>
      </c>
      <c r="AC15" s="1714" t="s">
        <v>1658</v>
      </c>
      <c r="AD15" s="1714" t="s">
        <v>1659</v>
      </c>
      <c r="AE15" s="1714" t="s">
        <v>1660</v>
      </c>
      <c r="AF15" s="1714" t="s">
        <v>1661</v>
      </c>
      <c r="AG15" s="1714" t="s">
        <v>1662</v>
      </c>
      <c r="AH15" s="1714" t="s">
        <v>1663</v>
      </c>
      <c r="AI15" s="1714" t="s">
        <v>1664</v>
      </c>
      <c r="AJ15" s="1714" t="s">
        <v>1665</v>
      </c>
      <c r="AK15" s="1714" t="s">
        <v>1666</v>
      </c>
      <c r="AL15" s="1714" t="s">
        <v>1667</v>
      </c>
      <c r="AM15" s="1714"/>
    </row>
    <row r="16" spans="1:39" ht="15" x14ac:dyDescent="0.25">
      <c r="A16" s="3"/>
      <c r="B16" s="3" t="s">
        <v>1668</v>
      </c>
      <c r="C16" s="3" t="s">
        <v>3</v>
      </c>
      <c r="D16" s="3" t="s">
        <v>1669</v>
      </c>
      <c r="E16" s="3">
        <v>1</v>
      </c>
      <c r="F16" s="1726">
        <v>0</v>
      </c>
      <c r="G16" s="1726">
        <v>0</v>
      </c>
      <c r="H16" s="1726">
        <v>0</v>
      </c>
      <c r="I16" s="1726">
        <v>0</v>
      </c>
      <c r="J16" s="1726">
        <v>0</v>
      </c>
      <c r="K16" s="1726">
        <v>0</v>
      </c>
      <c r="L16" s="1726">
        <v>0</v>
      </c>
      <c r="M16" s="1726">
        <v>0</v>
      </c>
      <c r="N16" s="1726">
        <v>9.8519299213394535E-9</v>
      </c>
      <c r="O16" s="1726">
        <v>3.1540939323378811E-8</v>
      </c>
      <c r="P16" s="1726">
        <v>6.2501428747742371E-8</v>
      </c>
      <c r="Q16" s="1726">
        <v>1.018511703728463E-7</v>
      </c>
      <c r="R16" s="1726">
        <v>1.4894636659878889E-7</v>
      </c>
      <c r="S16" s="1726">
        <v>2.0074600781338119E-7</v>
      </c>
      <c r="T16" s="1726">
        <v>2.6107617905303778E-7</v>
      </c>
      <c r="U16" s="1726">
        <v>3.2987329132971848E-7</v>
      </c>
      <c r="V16" s="1726">
        <v>4.0711289923977971E-7</v>
      </c>
      <c r="W16" s="1726">
        <v>4.8314336560554063E-7</v>
      </c>
      <c r="X16" s="1726">
        <v>5.5882771452414812E-7</v>
      </c>
      <c r="Y16" s="1726">
        <v>6.3589657153355418E-7</v>
      </c>
      <c r="Z16" s="1726">
        <v>7.1660050457866461E-7</v>
      </c>
      <c r="AA16" s="1726">
        <v>7.9894555566048068E-7</v>
      </c>
      <c r="AB16" s="1726">
        <v>8.85221012763728E-7</v>
      </c>
      <c r="AC16" s="1726">
        <v>9.7440790019803123E-7</v>
      </c>
      <c r="AD16" s="1726">
        <v>1.0670013135791511E-6</v>
      </c>
      <c r="AE16" s="1726">
        <v>1.1630521332887881E-6</v>
      </c>
      <c r="AF16" s="1726">
        <v>1.261290134713085E-6</v>
      </c>
      <c r="AG16" s="1726">
        <v>1.3659550986162041E-6</v>
      </c>
      <c r="AH16" s="1726">
        <v>1.4755733918879199E-6</v>
      </c>
      <c r="AI16" s="1726">
        <v>1.5902747935584759E-6</v>
      </c>
      <c r="AJ16" s="1726">
        <v>1.668144611637901E-6</v>
      </c>
      <c r="AK16" s="1726">
        <v>1.7298704460152931E-6</v>
      </c>
      <c r="AL16" s="1726">
        <v>1.785639279141623E-6</v>
      </c>
      <c r="AM16" s="1726"/>
    </row>
    <row r="17" spans="1:39" ht="15" x14ac:dyDescent="0.25">
      <c r="A17" s="3"/>
      <c r="B17" s="3" t="s">
        <v>1670</v>
      </c>
      <c r="C17" s="3" t="s">
        <v>3</v>
      </c>
      <c r="D17" s="3" t="s">
        <v>1669</v>
      </c>
      <c r="E17" s="3">
        <v>1</v>
      </c>
      <c r="F17" s="1726">
        <v>2.6131014791080082E-7</v>
      </c>
      <c r="G17" s="1726">
        <v>4.1898124909234098E-7</v>
      </c>
      <c r="H17" s="1726">
        <v>5.8111866987456702E-7</v>
      </c>
      <c r="I17" s="1726">
        <v>7.4840461171582204E-7</v>
      </c>
      <c r="J17" s="1726">
        <v>9.2201719908830302E-7</v>
      </c>
      <c r="K17" s="1726">
        <v>2.3052706395561522E-6</v>
      </c>
      <c r="L17" s="1726">
        <v>4.4136082214367739E-6</v>
      </c>
      <c r="M17" s="1726">
        <v>6.5946290152229707E-6</v>
      </c>
      <c r="N17" s="1726">
        <v>8.8466612984224004E-6</v>
      </c>
      <c r="O17" s="1726">
        <v>1.147830442458914E-5</v>
      </c>
      <c r="P17" s="1726">
        <v>1.2507147924218111E-5</v>
      </c>
      <c r="Q17" s="1726">
        <v>1.314530607109544E-5</v>
      </c>
      <c r="R17" s="1726">
        <v>1.713973749358667E-5</v>
      </c>
      <c r="S17" s="1726">
        <v>2.1744247344928299E-5</v>
      </c>
      <c r="T17" s="1726">
        <v>2.306901239073155E-5</v>
      </c>
      <c r="U17" s="1726">
        <v>2.4384035920381919E-5</v>
      </c>
      <c r="V17" s="1726">
        <v>2.5685308896897321E-5</v>
      </c>
      <c r="W17" s="1726">
        <v>2.69879996666842E-5</v>
      </c>
      <c r="X17" s="1726">
        <v>2.8364564007057459E-5</v>
      </c>
      <c r="Y17" s="1726">
        <v>3.1166396877940423E-5</v>
      </c>
      <c r="Z17" s="1726">
        <v>3.4618545587236393E-5</v>
      </c>
      <c r="AA17" s="1726">
        <v>3.6918482212532093E-5</v>
      </c>
      <c r="AB17" s="1726">
        <v>3.867669343107176E-5</v>
      </c>
      <c r="AC17" s="1726">
        <v>4.0727676739808633E-5</v>
      </c>
      <c r="AD17" s="1726">
        <v>4.3031867101066257E-5</v>
      </c>
      <c r="AE17" s="1726">
        <v>4.5313001867797073E-5</v>
      </c>
      <c r="AF17" s="1726">
        <v>4.8376348474465388E-5</v>
      </c>
      <c r="AG17" s="1726">
        <v>5.1409482806971542E-5</v>
      </c>
      <c r="AH17" s="1726">
        <v>5.50670128350142E-5</v>
      </c>
      <c r="AI17" s="1726">
        <v>5.8640584864915532E-5</v>
      </c>
      <c r="AJ17" s="1726">
        <v>6.3052900975069188E-5</v>
      </c>
      <c r="AK17" s="1726">
        <v>6.6892769382864136E-5</v>
      </c>
      <c r="AL17" s="1726">
        <v>7.0764145343318397E-5</v>
      </c>
      <c r="AM17" s="1726"/>
    </row>
    <row r="18" spans="1:39" ht="15" x14ac:dyDescent="0.25">
      <c r="A18" s="3"/>
      <c r="B18" s="3" t="s">
        <v>1671</v>
      </c>
      <c r="C18" s="3" t="s">
        <v>3</v>
      </c>
      <c r="D18" s="3" t="s">
        <v>1669</v>
      </c>
      <c r="E18" s="3">
        <v>1</v>
      </c>
      <c r="F18" s="1726">
        <v>0</v>
      </c>
      <c r="G18" s="1726">
        <v>0</v>
      </c>
      <c r="H18" s="1726">
        <v>0</v>
      </c>
      <c r="I18" s="1726">
        <v>0</v>
      </c>
      <c r="J18" s="1726">
        <v>0</v>
      </c>
      <c r="K18" s="1726">
        <v>0</v>
      </c>
      <c r="L18" s="1726">
        <v>0</v>
      </c>
      <c r="M18" s="1726">
        <v>0</v>
      </c>
      <c r="N18" s="1726">
        <v>0</v>
      </c>
      <c r="O18" s="1726">
        <v>0</v>
      </c>
      <c r="P18" s="1726">
        <v>0</v>
      </c>
      <c r="Q18" s="1726">
        <v>0</v>
      </c>
      <c r="R18" s="1726">
        <v>0</v>
      </c>
      <c r="S18" s="1726">
        <v>0</v>
      </c>
      <c r="T18" s="1726">
        <v>0</v>
      </c>
      <c r="U18" s="1726">
        <v>0</v>
      </c>
      <c r="V18" s="1726">
        <v>0</v>
      </c>
      <c r="W18" s="1726">
        <v>0</v>
      </c>
      <c r="X18" s="1726">
        <v>0</v>
      </c>
      <c r="Y18" s="1726">
        <v>0</v>
      </c>
      <c r="Z18" s="1726">
        <v>0</v>
      </c>
      <c r="AA18" s="1726">
        <v>0</v>
      </c>
      <c r="AB18" s="1726">
        <v>3.70462863680154E-10</v>
      </c>
      <c r="AC18" s="1726">
        <v>1.1108583319757149E-9</v>
      </c>
      <c r="AD18" s="1726">
        <v>1.2944556663871841E-9</v>
      </c>
      <c r="AE18" s="1726">
        <v>2.3984260362871581E-9</v>
      </c>
      <c r="AF18" s="1726">
        <v>2.940498638410223E-9</v>
      </c>
      <c r="AG18" s="1726">
        <v>6.4163774596117491E-9</v>
      </c>
      <c r="AH18" s="1726">
        <v>1.353233746433338E-8</v>
      </c>
      <c r="AI18" s="1726">
        <v>2.4263685619281551E-8</v>
      </c>
      <c r="AJ18" s="1726">
        <v>3.9230959730470671E-8</v>
      </c>
      <c r="AK18" s="1726">
        <v>5.8312306612808159E-8</v>
      </c>
      <c r="AL18" s="1726">
        <v>8.8385301478315641E-8</v>
      </c>
      <c r="AM18" s="1726"/>
    </row>
    <row r="19" spans="1:39" ht="15" x14ac:dyDescent="0.25">
      <c r="A19" s="3"/>
      <c r="B19" s="3" t="s">
        <v>1668</v>
      </c>
      <c r="C19" s="3" t="s">
        <v>1672</v>
      </c>
      <c r="D19" s="3" t="s">
        <v>1673</v>
      </c>
      <c r="E19" s="3">
        <v>3170</v>
      </c>
      <c r="F19" s="1726">
        <v>0</v>
      </c>
      <c r="G19" s="1726">
        <v>0</v>
      </c>
      <c r="H19" s="1726">
        <v>0</v>
      </c>
      <c r="I19" s="1726">
        <v>0</v>
      </c>
      <c r="J19" s="1726">
        <v>0</v>
      </c>
      <c r="K19" s="1726">
        <v>0</v>
      </c>
      <c r="L19" s="1726">
        <v>0</v>
      </c>
      <c r="M19" s="1726">
        <v>2.707762738895486E-5</v>
      </c>
      <c r="N19" s="1726">
        <v>8.6931551058900983E-5</v>
      </c>
      <c r="O19" s="1726">
        <v>1.863040424496161E-4</v>
      </c>
      <c r="P19" s="1726">
        <v>3.1273547703796481E-4</v>
      </c>
      <c r="Q19" s="1726">
        <v>5.1983172190548646E-4</v>
      </c>
      <c r="R19" s="1726">
        <v>8.0178753633182497E-4</v>
      </c>
      <c r="S19" s="1726">
        <v>1.0834609757761769E-3</v>
      </c>
      <c r="T19" s="1726">
        <v>1.3939861319519551E-3</v>
      </c>
      <c r="U19" s="1726">
        <v>1.73277048366962E-3</v>
      </c>
      <c r="V19" s="1726">
        <v>2.0952357832950178E-3</v>
      </c>
      <c r="W19" s="1726">
        <v>2.4518460588209851E-3</v>
      </c>
      <c r="X19" s="1726">
        <v>2.8027344076029899E-3</v>
      </c>
      <c r="Y19" s="1726">
        <v>2.5626719382125999E-3</v>
      </c>
      <c r="Z19" s="1726">
        <v>2.752380230469018E-3</v>
      </c>
      <c r="AA19" s="1726">
        <v>3.2288385920380609E-3</v>
      </c>
      <c r="AB19" s="1726">
        <v>3.824497153161363E-3</v>
      </c>
      <c r="AC19" s="1726">
        <v>4.270337205032915E-3</v>
      </c>
      <c r="AD19" s="1726">
        <v>5.3506683554602431E-3</v>
      </c>
      <c r="AE19" s="1726">
        <v>5.2407328336516431E-3</v>
      </c>
      <c r="AF19" s="1726">
        <v>6.1727424067068029E-3</v>
      </c>
      <c r="AG19" s="1726">
        <v>5.5345313365690032E-3</v>
      </c>
      <c r="AH19" s="1726">
        <v>6.4767103186586942E-3</v>
      </c>
      <c r="AI19" s="1726">
        <v>6.1203556267807966E-3</v>
      </c>
      <c r="AJ19" s="1726">
        <v>6.9972372579427166E-3</v>
      </c>
      <c r="AK19" s="1726">
        <v>7.2624295668966832E-3</v>
      </c>
      <c r="AL19" s="1726">
        <v>7.5245276682444923E-3</v>
      </c>
      <c r="AM19" s="1726"/>
    </row>
    <row r="20" spans="1:39" ht="15" x14ac:dyDescent="0.25">
      <c r="A20" s="3"/>
      <c r="B20" s="3" t="s">
        <v>1671</v>
      </c>
      <c r="C20" s="3" t="s">
        <v>1672</v>
      </c>
      <c r="D20" s="3" t="s">
        <v>1673</v>
      </c>
      <c r="E20" s="3">
        <v>3170</v>
      </c>
      <c r="F20" s="1726">
        <v>2.0830797606810991E-6</v>
      </c>
      <c r="G20" s="1726">
        <v>5.1310290580785562E-6</v>
      </c>
      <c r="H20" s="1726">
        <v>9.8378592437783122E-6</v>
      </c>
      <c r="I20" s="1726">
        <v>1.8322801458537179E-3</v>
      </c>
      <c r="J20" s="1726">
        <v>4.8728700758485701E-3</v>
      </c>
      <c r="K20" s="1726">
        <v>1.032790790201873E-2</v>
      </c>
      <c r="L20" s="1726">
        <v>1.7579836613494621E-2</v>
      </c>
      <c r="M20" s="1726">
        <v>2.713524858003856E-2</v>
      </c>
      <c r="N20" s="1726">
        <v>3.548195471409131E-2</v>
      </c>
      <c r="O20" s="1726">
        <v>4.6437791534360923E-2</v>
      </c>
      <c r="P20" s="1726">
        <v>5.5499792791662977E-2</v>
      </c>
      <c r="Q20" s="1726">
        <v>6.7528539052567685E-2</v>
      </c>
      <c r="R20" s="1726">
        <v>8.1966989013505881E-2</v>
      </c>
      <c r="S20" s="1726">
        <v>9.7832896017233148E-2</v>
      </c>
      <c r="T20" s="1726">
        <v>0.1141723963425368</v>
      </c>
      <c r="U20" s="1726">
        <v>0.14353410156192381</v>
      </c>
      <c r="V20" s="1726">
        <v>0.18096797410503329</v>
      </c>
      <c r="W20" s="1726">
        <v>0.22928927713897171</v>
      </c>
      <c r="X20" s="1726">
        <v>0.2811016094500573</v>
      </c>
      <c r="Y20" s="1726">
        <v>0.27603704284800851</v>
      </c>
      <c r="Z20" s="1726">
        <v>0.31935177334421078</v>
      </c>
      <c r="AA20" s="1726">
        <v>0.39418764670580742</v>
      </c>
      <c r="AB20" s="1726">
        <v>0.48079928856448328</v>
      </c>
      <c r="AC20" s="1726">
        <v>0.55078410886429996</v>
      </c>
      <c r="AD20" s="1726">
        <v>0.70366761255527266</v>
      </c>
      <c r="AE20" s="1726">
        <v>0.69749796964637756</v>
      </c>
      <c r="AF20" s="1726">
        <v>0.83328892692382928</v>
      </c>
      <c r="AG20" s="1726">
        <v>0.75152261346217619</v>
      </c>
      <c r="AH20" s="1726">
        <v>0.89051178607043024</v>
      </c>
      <c r="AI20" s="1726">
        <v>0.86712904720235651</v>
      </c>
      <c r="AJ20" s="1726">
        <v>1.041814281846178</v>
      </c>
      <c r="AK20" s="1726">
        <v>1.197965397985284</v>
      </c>
      <c r="AL20" s="1726">
        <v>1.3027469851872151</v>
      </c>
      <c r="AM20" s="1726"/>
    </row>
    <row r="21" spans="1:39" ht="15.75" customHeight="1" x14ac:dyDescent="0.25">
      <c r="A21" s="3"/>
      <c r="B21" s="3" t="s">
        <v>1670</v>
      </c>
      <c r="C21" s="3" t="s">
        <v>1672</v>
      </c>
      <c r="D21" s="3" t="s">
        <v>1674</v>
      </c>
      <c r="E21" s="3">
        <v>1300</v>
      </c>
      <c r="F21" s="1726">
        <v>0</v>
      </c>
      <c r="G21" s="1726">
        <v>0</v>
      </c>
      <c r="H21" s="1726">
        <v>0</v>
      </c>
      <c r="I21" s="1726">
        <v>0</v>
      </c>
      <c r="J21" s="1726">
        <v>0</v>
      </c>
      <c r="K21" s="1726">
        <v>0</v>
      </c>
      <c r="L21" s="1726">
        <v>4.7083012191387092E-4</v>
      </c>
      <c r="M21" s="1726">
        <v>9.7398562366991608E-4</v>
      </c>
      <c r="N21" s="1726">
        <v>1.5172377292203411E-3</v>
      </c>
      <c r="O21" s="1726">
        <v>2.0890454138388749E-3</v>
      </c>
      <c r="P21" s="1726">
        <v>2.2597233969434368E-3</v>
      </c>
      <c r="Q21" s="1726">
        <v>2.449931277654476E-3</v>
      </c>
      <c r="R21" s="1726">
        <v>9.6719329994966411E-3</v>
      </c>
      <c r="S21" s="1726">
        <v>1.798711497273375E-2</v>
      </c>
      <c r="T21" s="1726">
        <v>2.0047647530325102E-2</v>
      </c>
      <c r="U21" s="1726">
        <v>2.2196067947018928E-2</v>
      </c>
      <c r="V21" s="1726">
        <v>2.4372083845772899E-2</v>
      </c>
      <c r="W21" s="1726">
        <v>2.6622561246531871E-2</v>
      </c>
      <c r="X21" s="1726">
        <v>2.8829089321157471E-2</v>
      </c>
      <c r="Y21" s="1726">
        <v>4.9818769159364368E-2</v>
      </c>
      <c r="Z21" s="1726">
        <v>6.4518060128460356E-2</v>
      </c>
      <c r="AA21" s="1726">
        <v>6.9924118282950087E-2</v>
      </c>
      <c r="AB21" s="1726">
        <v>7.5492315634510768E-2</v>
      </c>
      <c r="AC21" s="1726">
        <v>0.102910838314077</v>
      </c>
      <c r="AD21" s="1726">
        <v>0.12581848736913631</v>
      </c>
      <c r="AE21" s="1726">
        <v>0.12643396100004839</v>
      </c>
      <c r="AF21" s="1726">
        <v>0.1224032452974238</v>
      </c>
      <c r="AG21" s="1726">
        <v>0.10682381967856761</v>
      </c>
      <c r="AH21" s="1726">
        <v>0.12017952117463469</v>
      </c>
      <c r="AI21" s="1726">
        <v>0.1172780049648126</v>
      </c>
      <c r="AJ21" s="1726">
        <v>0.12873840644907619</v>
      </c>
      <c r="AK21" s="1726">
        <v>6.8501506529416265E-2</v>
      </c>
      <c r="AL21" s="1726">
        <v>7.3144160071592967E-2</v>
      </c>
      <c r="AM21" s="1726"/>
    </row>
    <row r="22" spans="1:39" ht="15.75" customHeight="1" x14ac:dyDescent="0.25">
      <c r="A22" s="3"/>
      <c r="B22" s="3" t="s">
        <v>1675</v>
      </c>
      <c r="C22" s="3" t="s">
        <v>1672</v>
      </c>
      <c r="D22" s="3" t="s">
        <v>1674</v>
      </c>
      <c r="E22" s="3">
        <v>1300</v>
      </c>
      <c r="F22" s="1726">
        <v>0</v>
      </c>
      <c r="G22" s="1726">
        <v>0</v>
      </c>
      <c r="H22" s="1726">
        <v>0</v>
      </c>
      <c r="I22" s="1726">
        <v>0</v>
      </c>
      <c r="J22" s="1726">
        <v>0</v>
      </c>
      <c r="K22" s="1726">
        <v>0</v>
      </c>
      <c r="L22" s="1726">
        <v>0</v>
      </c>
      <c r="M22" s="1726">
        <v>3.2235782254365608E-4</v>
      </c>
      <c r="N22" s="1726">
        <v>6.5270642478647929E-4</v>
      </c>
      <c r="O22" s="1726">
        <v>9.9047932329365059E-4</v>
      </c>
      <c r="P22" s="1726">
        <v>1.371567092698403E-3</v>
      </c>
      <c r="Q22" s="1726">
        <v>3.1367205233573548E-3</v>
      </c>
      <c r="R22" s="1726">
        <v>4.9577196476018647E-3</v>
      </c>
      <c r="S22" s="1726">
        <v>6.8239834112029498E-3</v>
      </c>
      <c r="T22" s="1726">
        <v>8.7482454746959041E-3</v>
      </c>
      <c r="U22" s="1726">
        <v>1.0728317244315449E-2</v>
      </c>
      <c r="V22" s="1726">
        <v>1.274075218509407E-2</v>
      </c>
      <c r="W22" s="1726">
        <v>1.4772572226350729E-2</v>
      </c>
      <c r="X22" s="1726">
        <v>1.645456790318444E-2</v>
      </c>
      <c r="Y22" s="1726">
        <v>1.786536512200915E-2</v>
      </c>
      <c r="Z22" s="1726">
        <v>1.703998626796414E-2</v>
      </c>
      <c r="AA22" s="1726">
        <v>1.8568296455186279E-2</v>
      </c>
      <c r="AB22" s="1726">
        <v>1.74196565713742E-2</v>
      </c>
      <c r="AC22" s="1726">
        <v>2.0422720773557269E-2</v>
      </c>
      <c r="AD22" s="1726">
        <v>2.129631658524931E-2</v>
      </c>
      <c r="AE22" s="1726">
        <v>1.798754599747918E-2</v>
      </c>
      <c r="AF22" s="1726">
        <v>2.099184022573827E-2</v>
      </c>
      <c r="AG22" s="1726">
        <v>2.2168836397245231E-2</v>
      </c>
      <c r="AH22" s="1726">
        <v>2.8629317304927598E-2</v>
      </c>
      <c r="AI22" s="1726">
        <v>2.8196490746310279E-2</v>
      </c>
      <c r="AJ22" s="1726">
        <v>3.1926112310129477E-2</v>
      </c>
      <c r="AK22" s="1726">
        <v>3.2440100519578331E-2</v>
      </c>
      <c r="AL22" s="1726">
        <v>1.975537229646375E-2</v>
      </c>
      <c r="AM22" s="1726"/>
    </row>
    <row r="23" spans="1:39" ht="15.75" customHeight="1" x14ac:dyDescent="0.25">
      <c r="A23" s="3"/>
      <c r="B23" s="3" t="s">
        <v>1676</v>
      </c>
      <c r="C23" s="3" t="s">
        <v>1672</v>
      </c>
      <c r="D23" s="3" t="s">
        <v>1674</v>
      </c>
      <c r="E23" s="3">
        <v>1300</v>
      </c>
      <c r="F23" s="1726">
        <v>0</v>
      </c>
      <c r="G23" s="1726">
        <v>0</v>
      </c>
      <c r="H23" s="1726">
        <v>0</v>
      </c>
      <c r="I23" s="1726">
        <v>0</v>
      </c>
      <c r="J23" s="1726">
        <v>1.222873263624181E-2</v>
      </c>
      <c r="K23" s="1726">
        <v>0.13197604969973659</v>
      </c>
      <c r="L23" s="1726">
        <v>0.15222651599904941</v>
      </c>
      <c r="M23" s="1726">
        <v>0.16412746947062409</v>
      </c>
      <c r="N23" s="1726">
        <v>0.16401129709142079</v>
      </c>
      <c r="O23" s="1726">
        <v>0.16914019928520899</v>
      </c>
      <c r="P23" s="1726">
        <v>0.1717795795987524</v>
      </c>
      <c r="Q23" s="1726">
        <v>0.16325329296739999</v>
      </c>
      <c r="R23" s="1726">
        <v>0.15334835742854641</v>
      </c>
      <c r="S23" s="1726">
        <v>0.14300346441334841</v>
      </c>
      <c r="T23" s="1726">
        <v>0.13129686926390791</v>
      </c>
      <c r="U23" s="1726">
        <v>0.1192059926181875</v>
      </c>
      <c r="V23" s="1726">
        <v>0.1287991576377196</v>
      </c>
      <c r="W23" s="1726">
        <v>0.1393822644522251</v>
      </c>
      <c r="X23" s="1726">
        <v>0.1489015613021788</v>
      </c>
      <c r="Y23" s="1726">
        <v>0.16524918594278379</v>
      </c>
      <c r="Z23" s="1726">
        <v>0.16121869065066899</v>
      </c>
      <c r="AA23" s="1726">
        <v>0.17243090704340541</v>
      </c>
      <c r="AB23" s="1726">
        <v>0.18256598943272859</v>
      </c>
      <c r="AC23" s="1726">
        <v>0.24235495711430399</v>
      </c>
      <c r="AD23" s="1726">
        <v>0.28728773716654388</v>
      </c>
      <c r="AE23" s="1726">
        <v>0.28008391855201847</v>
      </c>
      <c r="AF23" s="1726">
        <v>0.2362523918154053</v>
      </c>
      <c r="AG23" s="1726">
        <v>0.1853181969290654</v>
      </c>
      <c r="AH23" s="1726">
        <v>0.1791298630823423</v>
      </c>
      <c r="AI23" s="1726">
        <v>0.1775373336035154</v>
      </c>
      <c r="AJ23" s="1726">
        <v>0.20229140631843751</v>
      </c>
      <c r="AK23" s="1726">
        <v>0.20684833898446839</v>
      </c>
      <c r="AL23" s="1726">
        <v>0.211239346129798</v>
      </c>
      <c r="AM23" s="1726"/>
    </row>
    <row r="24" spans="1:39" ht="15.75" customHeight="1" x14ac:dyDescent="0.25">
      <c r="A24" s="3"/>
      <c r="B24" s="3" t="s">
        <v>1671</v>
      </c>
      <c r="C24" s="3" t="s">
        <v>1672</v>
      </c>
      <c r="D24" s="3" t="s">
        <v>1674</v>
      </c>
      <c r="E24" s="3">
        <v>1300</v>
      </c>
      <c r="F24" s="1726">
        <v>7.3244025391447861E-8</v>
      </c>
      <c r="G24" s="1726">
        <v>1.8041422594940989E-7</v>
      </c>
      <c r="H24" s="1726">
        <v>1.7305468372907699E-2</v>
      </c>
      <c r="I24" s="1726">
        <v>7.4925704686498354E-2</v>
      </c>
      <c r="J24" s="1726">
        <v>0.18214369648970391</v>
      </c>
      <c r="K24" s="1726">
        <v>0.28846385509273298</v>
      </c>
      <c r="L24" s="1726">
        <v>0.41808160418705281</v>
      </c>
      <c r="M24" s="1726">
        <v>0.55318848799204057</v>
      </c>
      <c r="N24" s="1726">
        <v>0.64919731239558043</v>
      </c>
      <c r="O24" s="1726">
        <v>0.74618482084339144</v>
      </c>
      <c r="P24" s="1726">
        <v>0.83848119982811664</v>
      </c>
      <c r="Q24" s="1726">
        <v>0.93108188460690711</v>
      </c>
      <c r="R24" s="1726">
        <v>0.97507844714428238</v>
      </c>
      <c r="S24" s="1726">
        <v>1.007503342012952</v>
      </c>
      <c r="T24" s="1726">
        <v>1.0436906705291049</v>
      </c>
      <c r="U24" s="1726">
        <v>1.067829337330426</v>
      </c>
      <c r="V24" s="1726">
        <v>1.0892686279706909</v>
      </c>
      <c r="W24" s="1726">
        <v>1.1057765409659921</v>
      </c>
      <c r="X24" s="1726">
        <v>1.1283151092445349</v>
      </c>
      <c r="Y24" s="1726">
        <v>1.109075708793021</v>
      </c>
      <c r="Z24" s="1726">
        <v>0.92797689062879785</v>
      </c>
      <c r="AA24" s="1726">
        <v>0.85749332780679755</v>
      </c>
      <c r="AB24" s="1726">
        <v>0.79206010936168336</v>
      </c>
      <c r="AC24" s="1726">
        <v>0.90959075700779468</v>
      </c>
      <c r="AD24" s="1726">
        <v>0.97963122701388372</v>
      </c>
      <c r="AE24" s="1726">
        <v>0.87464999343577809</v>
      </c>
      <c r="AF24" s="1726">
        <v>0.77006584444478243</v>
      </c>
      <c r="AG24" s="1726">
        <v>0.62989015503701173</v>
      </c>
      <c r="AH24" s="1726">
        <v>0.67060516400370496</v>
      </c>
      <c r="AI24" s="1726">
        <v>0.62800888337323146</v>
      </c>
      <c r="AJ24" s="1726">
        <v>0.67523393384518882</v>
      </c>
      <c r="AK24" s="1726">
        <v>0.65433657486838559</v>
      </c>
      <c r="AL24" s="1726">
        <v>0.62706311493157862</v>
      </c>
      <c r="AM24" s="1726"/>
    </row>
    <row r="25" spans="1:39" ht="15.75" customHeight="1" x14ac:dyDescent="0.25">
      <c r="A25" s="3"/>
      <c r="B25" s="3" t="s">
        <v>1671</v>
      </c>
      <c r="C25" s="3" t="s">
        <v>1672</v>
      </c>
      <c r="D25" s="3" t="s">
        <v>1677</v>
      </c>
      <c r="E25" s="3">
        <v>4800</v>
      </c>
      <c r="F25" s="1726">
        <v>3.7240846201553312E-6</v>
      </c>
      <c r="G25" s="1726">
        <v>9.1731419801768085E-6</v>
      </c>
      <c r="H25" s="1726">
        <v>1.7587910456692571E-5</v>
      </c>
      <c r="I25" s="1726">
        <v>1.318694796414364E-3</v>
      </c>
      <c r="J25" s="1726">
        <v>3.6741288239772992E-3</v>
      </c>
      <c r="K25" s="1726">
        <v>9.1767881134462714E-3</v>
      </c>
      <c r="L25" s="1726">
        <v>1.7068477805663181E-2</v>
      </c>
      <c r="M25" s="1726">
        <v>2.8260174203529932E-2</v>
      </c>
      <c r="N25" s="1726">
        <v>4.0974398710055072E-2</v>
      </c>
      <c r="O25" s="1726">
        <v>5.8511730201415091E-2</v>
      </c>
      <c r="P25" s="1726">
        <v>7.2150615314809471E-2</v>
      </c>
      <c r="Q25" s="1726">
        <v>8.9370065998305867E-2</v>
      </c>
      <c r="R25" s="1726">
        <v>0.1087828117007227</v>
      </c>
      <c r="S25" s="1726">
        <v>0.1288072809836224</v>
      </c>
      <c r="T25" s="1726">
        <v>0.1472520743030476</v>
      </c>
      <c r="U25" s="1726">
        <v>0.17825234594206199</v>
      </c>
      <c r="V25" s="1726">
        <v>0.2118619930356147</v>
      </c>
      <c r="W25" s="1726">
        <v>0.2496507682504136</v>
      </c>
      <c r="X25" s="1726">
        <v>0.29254300276961481</v>
      </c>
      <c r="Y25" s="1726">
        <v>0.32544677330981392</v>
      </c>
      <c r="Z25" s="1726">
        <v>0.33349639492362038</v>
      </c>
      <c r="AA25" s="1726">
        <v>0.41388764324358202</v>
      </c>
      <c r="AB25" s="1726">
        <v>0.49996887401693491</v>
      </c>
      <c r="AC25" s="1726">
        <v>0.56678410628142217</v>
      </c>
      <c r="AD25" s="1726">
        <v>0.65334285974531225</v>
      </c>
      <c r="AE25" s="1726">
        <v>0.65542007120561996</v>
      </c>
      <c r="AF25" s="1726">
        <v>0.6741416043585654</v>
      </c>
      <c r="AG25" s="1726">
        <v>0.50404953133319441</v>
      </c>
      <c r="AH25" s="1726">
        <v>0.632093783017319</v>
      </c>
      <c r="AI25" s="1726">
        <v>0.55417967019470238</v>
      </c>
      <c r="AJ25" s="1726">
        <v>0.60943851858890463</v>
      </c>
      <c r="AK25" s="1726">
        <v>0.61154888168151578</v>
      </c>
      <c r="AL25" s="1726">
        <v>0.60870672771026657</v>
      </c>
      <c r="AM25" s="1726"/>
    </row>
    <row r="26" spans="1:39" ht="15.75" customHeight="1" x14ac:dyDescent="0.25">
      <c r="A26" s="3"/>
      <c r="B26" s="3" t="s">
        <v>1668</v>
      </c>
      <c r="C26" s="3" t="s">
        <v>1672</v>
      </c>
      <c r="D26" s="3" t="s">
        <v>1678</v>
      </c>
      <c r="E26" s="3">
        <v>12400</v>
      </c>
      <c r="F26" s="1726">
        <v>0</v>
      </c>
      <c r="G26" s="1726">
        <v>0</v>
      </c>
      <c r="H26" s="1726">
        <v>0</v>
      </c>
      <c r="I26" s="1726">
        <v>0</v>
      </c>
      <c r="J26" s="1726">
        <v>0</v>
      </c>
      <c r="K26" s="1726">
        <v>9.3036146234324768E-6</v>
      </c>
      <c r="L26" s="1726">
        <v>2.0863174107854798E-5</v>
      </c>
      <c r="M26" s="1726">
        <v>3.9285248301842602E-5</v>
      </c>
      <c r="N26" s="1726">
        <v>5.762449576632511E-5</v>
      </c>
      <c r="O26" s="1726">
        <v>8.2822795964448826E-5</v>
      </c>
      <c r="P26" s="1726">
        <v>1.080885242557396E-4</v>
      </c>
      <c r="Q26" s="1726">
        <v>1.313657066049777E-4</v>
      </c>
      <c r="R26" s="1726">
        <v>1.5256283657628139E-4</v>
      </c>
      <c r="S26" s="1726">
        <v>1.6903747560248619E-4</v>
      </c>
      <c r="T26" s="1726">
        <v>1.852557722608108E-4</v>
      </c>
      <c r="U26" s="1726">
        <v>2.0359600424150949E-4</v>
      </c>
      <c r="V26" s="1726">
        <v>2.1908588182021951E-4</v>
      </c>
      <c r="W26" s="1726">
        <v>2.3642555806566921E-4</v>
      </c>
      <c r="X26" s="1726">
        <v>2.5156468733034262E-4</v>
      </c>
      <c r="Y26" s="1726">
        <v>2.6969387346895552E-4</v>
      </c>
      <c r="Z26" s="1726">
        <v>2.9085115325012397E-4</v>
      </c>
      <c r="AA26" s="1726">
        <v>3.0973479855850972E-4</v>
      </c>
      <c r="AB26" s="1726">
        <v>3.330461144484584E-4</v>
      </c>
      <c r="AC26" s="1726">
        <v>3.5354917845680422E-4</v>
      </c>
      <c r="AD26" s="1726">
        <v>3.7605786330928268E-4</v>
      </c>
      <c r="AE26" s="1726">
        <v>4.0035265374947169E-4</v>
      </c>
      <c r="AF26" s="1726">
        <v>4.2387287872683359E-4</v>
      </c>
      <c r="AG26" s="1726">
        <v>4.5009971253825049E-4</v>
      </c>
      <c r="AH26" s="1726">
        <v>4.7619198320438021E-4</v>
      </c>
      <c r="AI26" s="1726">
        <v>5.0446574040930326E-4</v>
      </c>
      <c r="AJ26" s="1726">
        <v>5.3214126222195246E-4</v>
      </c>
      <c r="AK26" s="1726">
        <v>5.5199864253537782E-4</v>
      </c>
      <c r="AL26" s="1726">
        <v>5.6954536712445038E-4</v>
      </c>
      <c r="AM26" s="1726"/>
    </row>
    <row r="27" spans="1:39" ht="15.75" customHeight="1" x14ac:dyDescent="0.25">
      <c r="A27" s="3"/>
      <c r="B27" s="3" t="s">
        <v>1668</v>
      </c>
      <c r="C27" s="3" t="s">
        <v>1672</v>
      </c>
      <c r="D27" s="3" t="s">
        <v>1679</v>
      </c>
      <c r="E27" s="3">
        <v>8060</v>
      </c>
      <c r="F27" s="1726">
        <v>0</v>
      </c>
      <c r="G27" s="1726">
        <v>0</v>
      </c>
      <c r="H27" s="1726">
        <v>0</v>
      </c>
      <c r="I27" s="1726">
        <v>0</v>
      </c>
      <c r="J27" s="1726">
        <v>0</v>
      </c>
      <c r="K27" s="1726">
        <v>0</v>
      </c>
      <c r="L27" s="1726">
        <v>0</v>
      </c>
      <c r="M27" s="1726">
        <v>1.9677287605305281E-4</v>
      </c>
      <c r="N27" s="1726">
        <v>5.9929475596978113E-4</v>
      </c>
      <c r="O27" s="1726">
        <v>1.22025586054288E-3</v>
      </c>
      <c r="P27" s="1726">
        <v>1.859582568365767E-3</v>
      </c>
      <c r="Q27" s="1726">
        <v>2.5241805291070498E-3</v>
      </c>
      <c r="R27" s="1726">
        <v>3.215377358751628E-3</v>
      </c>
      <c r="S27" s="1726">
        <v>3.7282025697778481E-3</v>
      </c>
      <c r="T27" s="1726">
        <v>4.0489964724753462E-3</v>
      </c>
      <c r="U27" s="1726">
        <v>4.1671243527226683E-3</v>
      </c>
      <c r="V27" s="1726">
        <v>4.2781707301546229E-3</v>
      </c>
      <c r="W27" s="1726">
        <v>4.3864974899368312E-3</v>
      </c>
      <c r="X27" s="1726">
        <v>4.5011783418507298E-3</v>
      </c>
      <c r="Y27" s="1726">
        <v>4.6335921557397212E-3</v>
      </c>
      <c r="Z27" s="1726">
        <v>4.7814097461071556E-3</v>
      </c>
      <c r="AA27" s="1726">
        <v>4.9347636405894114E-3</v>
      </c>
      <c r="AB27" s="1726">
        <v>5.0880258808705184E-3</v>
      </c>
      <c r="AC27" s="1726">
        <v>5.2378081210986936E-3</v>
      </c>
      <c r="AD27" s="1726">
        <v>5.3880607579938232E-3</v>
      </c>
      <c r="AE27" s="1726">
        <v>5.5376779066626941E-3</v>
      </c>
      <c r="AF27" s="1726">
        <v>5.6821754613843372E-3</v>
      </c>
      <c r="AG27" s="1726">
        <v>5.8379978623995356E-3</v>
      </c>
      <c r="AH27" s="1726">
        <v>5.9974112703719273E-3</v>
      </c>
      <c r="AI27" s="1726">
        <v>6.1625127656323034E-3</v>
      </c>
      <c r="AJ27" s="1726">
        <v>6.408648020849398E-3</v>
      </c>
      <c r="AK27" s="1726">
        <v>6.5918218060454052E-3</v>
      </c>
      <c r="AL27" s="1726">
        <v>6.7551257288027454E-3</v>
      </c>
      <c r="AM27" s="1726"/>
    </row>
    <row r="28" spans="1:39" ht="15.75" customHeight="1" x14ac:dyDescent="0.25">
      <c r="A28" s="3"/>
      <c r="B28" s="3" t="s">
        <v>1671</v>
      </c>
      <c r="C28" s="3" t="s">
        <v>1672</v>
      </c>
      <c r="D28" s="3" t="s">
        <v>1679</v>
      </c>
      <c r="E28" s="3">
        <v>8060</v>
      </c>
      <c r="F28" s="1726">
        <v>0</v>
      </c>
      <c r="G28" s="1726">
        <v>0</v>
      </c>
      <c r="H28" s="1726">
        <v>0</v>
      </c>
      <c r="I28" s="1726">
        <v>1.094958153041211E-3</v>
      </c>
      <c r="J28" s="1726">
        <v>3.3027020891527839E-3</v>
      </c>
      <c r="K28" s="1726">
        <v>5.4743631396104624E-3</v>
      </c>
      <c r="L28" s="1726">
        <v>6.8121740657830568E-3</v>
      </c>
      <c r="M28" s="1726">
        <v>8.1442941523637569E-3</v>
      </c>
      <c r="N28" s="1726">
        <v>9.3579876144681325E-3</v>
      </c>
      <c r="O28" s="1726">
        <v>1.046189951024263E-2</v>
      </c>
      <c r="P28" s="1726">
        <v>1.14699172404104E-2</v>
      </c>
      <c r="Q28" s="1726">
        <v>1.2396198147395159E-2</v>
      </c>
      <c r="R28" s="1726">
        <v>1.3223615016062191E-2</v>
      </c>
      <c r="S28" s="1726">
        <v>1.392845643145911E-2</v>
      </c>
      <c r="T28" s="1726">
        <v>1.4498116737131051E-2</v>
      </c>
      <c r="U28" s="1726">
        <v>1.493758433619425E-2</v>
      </c>
      <c r="V28" s="1726">
        <v>1.5229928037270831E-2</v>
      </c>
      <c r="W28" s="1726">
        <v>1.5381089327809121E-2</v>
      </c>
      <c r="X28" s="1726">
        <v>1.543303617737592E-2</v>
      </c>
      <c r="Y28" s="1726">
        <v>1.5419061553197361E-2</v>
      </c>
      <c r="Z28" s="1726">
        <v>1.54502651789683E-2</v>
      </c>
      <c r="AA28" s="1726">
        <v>1.54783656167052E-2</v>
      </c>
      <c r="AB28" s="1726">
        <v>1.549548727040936E-2</v>
      </c>
      <c r="AC28" s="1726">
        <v>1.5743269423815161E-2</v>
      </c>
      <c r="AD28" s="1726">
        <v>1.49479561111812E-2</v>
      </c>
      <c r="AE28" s="1726">
        <v>1.2775024408200639E-2</v>
      </c>
      <c r="AF28" s="1726">
        <v>1.139990155130706E-2</v>
      </c>
      <c r="AG28" s="1726">
        <v>1.004472525147862E-2</v>
      </c>
      <c r="AH28" s="1726">
        <v>8.5856280781313535E-3</v>
      </c>
      <c r="AI28" s="1726">
        <v>7.2388571570526916E-3</v>
      </c>
      <c r="AJ28" s="1726">
        <v>6.0805703714151343E-3</v>
      </c>
      <c r="AK28" s="1726">
        <v>4.9549861618991779E-3</v>
      </c>
      <c r="AL28" s="1726">
        <v>3.9247575468000229E-3</v>
      </c>
      <c r="AM28" s="1726"/>
    </row>
    <row r="29" spans="1:39" ht="15.75" customHeight="1" x14ac:dyDescent="0.25">
      <c r="A29" s="3"/>
      <c r="B29" s="3" t="s">
        <v>1671</v>
      </c>
      <c r="C29" s="3" t="s">
        <v>1672</v>
      </c>
      <c r="D29" s="3" t="s">
        <v>1680</v>
      </c>
      <c r="E29" s="3">
        <v>677</v>
      </c>
      <c r="F29" s="1726">
        <v>0</v>
      </c>
      <c r="G29" s="1726">
        <v>0</v>
      </c>
      <c r="H29" s="1726">
        <v>0</v>
      </c>
      <c r="I29" s="1726">
        <v>0</v>
      </c>
      <c r="J29" s="1726">
        <v>0</v>
      </c>
      <c r="K29" s="1726">
        <v>0</v>
      </c>
      <c r="L29" s="1726">
        <v>3.0469016963371702E-6</v>
      </c>
      <c r="M29" s="1726">
        <v>8.6518110182798053E-6</v>
      </c>
      <c r="N29" s="1726">
        <v>1.844517591183488E-5</v>
      </c>
      <c r="O29" s="1726">
        <v>3.5786809654347221E-5</v>
      </c>
      <c r="P29" s="1726">
        <v>1.651955955267768E-4</v>
      </c>
      <c r="Q29" s="1726">
        <v>4.1358921209775327E-4</v>
      </c>
      <c r="R29" s="1726">
        <v>8.1173569754559188E-4</v>
      </c>
      <c r="S29" s="1726">
        <v>1.3502779681188589E-3</v>
      </c>
      <c r="T29" s="1726">
        <v>2.0675901294666841E-3</v>
      </c>
      <c r="U29" s="1726">
        <v>3.080495081027423E-3</v>
      </c>
      <c r="V29" s="1726">
        <v>5.012036933085804E-3</v>
      </c>
      <c r="W29" s="1726">
        <v>7.1895367644093308E-3</v>
      </c>
      <c r="X29" s="1726">
        <v>9.4723877763723281E-3</v>
      </c>
      <c r="Y29" s="1726">
        <v>1.2203848200017841E-2</v>
      </c>
      <c r="Z29" s="1726">
        <v>1.7058702289811462E-2</v>
      </c>
      <c r="AA29" s="1726">
        <v>3.0748644235615671E-2</v>
      </c>
      <c r="AB29" s="1726">
        <v>3.2645818495296318E-2</v>
      </c>
      <c r="AC29" s="1726">
        <v>4.8837634649829952E-2</v>
      </c>
      <c r="AD29" s="1726">
        <v>6.0687208721937488E-2</v>
      </c>
      <c r="AE29" s="1726">
        <v>7.3553730118908534E-2</v>
      </c>
      <c r="AF29" s="1726">
        <v>8.4213997171858915E-2</v>
      </c>
      <c r="AG29" s="1726">
        <v>8.0964713183116183E-2</v>
      </c>
      <c r="AH29" s="1726">
        <v>9.7705256137823007E-2</v>
      </c>
      <c r="AI29" s="1726">
        <v>0.1037901447480068</v>
      </c>
      <c r="AJ29" s="1726">
        <v>0.1381303149748907</v>
      </c>
      <c r="AK29" s="1726">
        <v>0.16864826115628431</v>
      </c>
      <c r="AL29" s="1726">
        <v>0.1885012873241986</v>
      </c>
      <c r="AM29" s="1726"/>
    </row>
    <row r="30" spans="1:39" ht="15.75" customHeight="1" x14ac:dyDescent="0.25">
      <c r="A30" s="3"/>
      <c r="B30" s="3" t="s">
        <v>1668</v>
      </c>
      <c r="C30" s="3" t="s">
        <v>1672</v>
      </c>
      <c r="D30" s="3" t="s">
        <v>1681</v>
      </c>
      <c r="E30" s="3">
        <v>1</v>
      </c>
      <c r="F30" s="1726">
        <v>0</v>
      </c>
      <c r="G30" s="1726">
        <v>0</v>
      </c>
      <c r="H30" s="1726">
        <v>0</v>
      </c>
      <c r="I30" s="1726">
        <v>0</v>
      </c>
      <c r="J30" s="1726">
        <v>6.9927002953494894E-5</v>
      </c>
      <c r="K30" s="1726">
        <v>5.8312655526868715E-4</v>
      </c>
      <c r="L30" s="1726">
        <v>1.4260147754122849E-3</v>
      </c>
      <c r="M30" s="1726">
        <v>2.6570842323925571E-3</v>
      </c>
      <c r="N30" s="1726">
        <v>4.1734448116025847E-3</v>
      </c>
      <c r="O30" s="1726">
        <v>6.2098265177211193E-3</v>
      </c>
      <c r="P30" s="1726">
        <v>8.1490364307879922E-3</v>
      </c>
      <c r="Q30" s="1726">
        <v>9.9471421494280784E-3</v>
      </c>
      <c r="R30" s="1726">
        <v>1.160995916122351E-2</v>
      </c>
      <c r="S30" s="1726">
        <v>1.2933878542943769E-2</v>
      </c>
      <c r="T30" s="1726">
        <v>1.423454371364744E-2</v>
      </c>
      <c r="U30" s="1726">
        <v>1.5499809328405599E-2</v>
      </c>
      <c r="V30" s="1726">
        <v>1.6701755546475371E-2</v>
      </c>
      <c r="W30" s="1726">
        <v>1.78460016274243E-2</v>
      </c>
      <c r="X30" s="1726">
        <v>1.8972191686515379E-2</v>
      </c>
      <c r="Y30" s="1726">
        <v>2.012317740348785E-2</v>
      </c>
      <c r="Z30" s="1726">
        <v>2.132646503976254E-2</v>
      </c>
      <c r="AA30" s="1726">
        <v>2.252497290424995E-2</v>
      </c>
      <c r="AB30" s="1726">
        <v>2.370096370609133E-2</v>
      </c>
      <c r="AC30" s="1726">
        <v>2.4827776291184891E-2</v>
      </c>
      <c r="AD30" s="1726">
        <v>2.591758210629231E-2</v>
      </c>
      <c r="AE30" s="1726">
        <v>2.695280149269972E-2</v>
      </c>
      <c r="AF30" s="1726">
        <v>2.7913106021788311E-2</v>
      </c>
      <c r="AG30" s="1726">
        <v>2.8873744399520441E-2</v>
      </c>
      <c r="AH30" s="1726">
        <v>2.9791962105591738E-2</v>
      </c>
      <c r="AI30" s="1726">
        <v>3.0665212107299149E-2</v>
      </c>
      <c r="AJ30" s="1726">
        <v>3.1563287069441143E-2</v>
      </c>
      <c r="AK30" s="1726">
        <v>3.2139076122816183E-2</v>
      </c>
      <c r="AL30" s="1726">
        <v>3.2596343641711593E-2</v>
      </c>
      <c r="AM30" s="1726"/>
    </row>
    <row r="31" spans="1:39" ht="15.75" customHeight="1" x14ac:dyDescent="0.25">
      <c r="A31" s="3"/>
      <c r="B31" s="3" t="s">
        <v>1670</v>
      </c>
      <c r="C31" s="3" t="s">
        <v>1672</v>
      </c>
      <c r="D31" s="3" t="s">
        <v>1681</v>
      </c>
      <c r="E31" s="3">
        <v>1</v>
      </c>
      <c r="F31" s="1726">
        <v>0</v>
      </c>
      <c r="G31" s="1726">
        <v>0</v>
      </c>
      <c r="H31" s="1726">
        <v>0</v>
      </c>
      <c r="I31" s="1726">
        <v>0</v>
      </c>
      <c r="J31" s="1726">
        <v>0</v>
      </c>
      <c r="K31" s="1726">
        <v>0</v>
      </c>
      <c r="L31" s="1726">
        <v>0</v>
      </c>
      <c r="M31" s="1726">
        <v>0</v>
      </c>
      <c r="N31" s="1726">
        <v>0</v>
      </c>
      <c r="O31" s="1726">
        <v>0</v>
      </c>
      <c r="P31" s="1726">
        <v>0</v>
      </c>
      <c r="Q31" s="1726">
        <v>0</v>
      </c>
      <c r="R31" s="1726">
        <v>0</v>
      </c>
      <c r="S31" s="1726">
        <v>0</v>
      </c>
      <c r="T31" s="1726">
        <v>0</v>
      </c>
      <c r="U31" s="1726">
        <v>0</v>
      </c>
      <c r="V31" s="1726">
        <v>0</v>
      </c>
      <c r="W31" s="1726">
        <v>0</v>
      </c>
      <c r="X31" s="1726">
        <v>0</v>
      </c>
      <c r="Y31" s="1726">
        <v>0</v>
      </c>
      <c r="Z31" s="1726">
        <v>0</v>
      </c>
      <c r="AA31" s="1726">
        <v>0</v>
      </c>
      <c r="AB31" s="1726">
        <v>0</v>
      </c>
      <c r="AC31" s="1726">
        <v>0</v>
      </c>
      <c r="AD31" s="1726">
        <v>0</v>
      </c>
      <c r="AE31" s="1726">
        <v>0</v>
      </c>
      <c r="AF31" s="1726">
        <v>0</v>
      </c>
      <c r="AG31" s="1726">
        <v>4.9187949605383671E-6</v>
      </c>
      <c r="AH31" s="1726">
        <v>1.134467053074122E-5</v>
      </c>
      <c r="AI31" s="1726">
        <v>1.9157730483097699E-5</v>
      </c>
      <c r="AJ31" s="1726">
        <v>2.882333606150492E-5</v>
      </c>
      <c r="AK31" s="1726">
        <v>3.9761083238691162E-5</v>
      </c>
      <c r="AL31" s="1726">
        <v>4.5162144170280212E-5</v>
      </c>
      <c r="AM31" s="1726"/>
    </row>
    <row r="32" spans="1:39" ht="15.75" customHeight="1" x14ac:dyDescent="0.25">
      <c r="A32" s="3"/>
      <c r="B32" s="3" t="s">
        <v>1670</v>
      </c>
      <c r="C32" s="3" t="s">
        <v>1672</v>
      </c>
      <c r="D32" s="3" t="s">
        <v>1681</v>
      </c>
      <c r="E32" s="3">
        <v>1</v>
      </c>
      <c r="F32" s="1726">
        <v>0</v>
      </c>
      <c r="G32" s="1726">
        <v>0</v>
      </c>
      <c r="H32" s="1726">
        <v>0</v>
      </c>
      <c r="I32" s="1726">
        <v>0</v>
      </c>
      <c r="J32" s="1726">
        <v>0</v>
      </c>
      <c r="K32" s="1726">
        <v>0</v>
      </c>
      <c r="L32" s="1726">
        <v>0</v>
      </c>
      <c r="M32" s="1726">
        <v>0</v>
      </c>
      <c r="N32" s="1726">
        <v>0</v>
      </c>
      <c r="O32" s="1726">
        <v>0</v>
      </c>
      <c r="P32" s="1726">
        <v>0</v>
      </c>
      <c r="Q32" s="1726">
        <v>0</v>
      </c>
      <c r="R32" s="1726">
        <v>0</v>
      </c>
      <c r="S32" s="1726">
        <v>0</v>
      </c>
      <c r="T32" s="1726">
        <v>0</v>
      </c>
      <c r="U32" s="1726">
        <v>0</v>
      </c>
      <c r="V32" s="1726">
        <v>0</v>
      </c>
      <c r="W32" s="1726">
        <v>0</v>
      </c>
      <c r="X32" s="1726">
        <v>0</v>
      </c>
      <c r="Y32" s="1726">
        <v>0</v>
      </c>
      <c r="Z32" s="1726">
        <v>0</v>
      </c>
      <c r="AA32" s="1726">
        <v>0</v>
      </c>
      <c r="AB32" s="1726">
        <v>0</v>
      </c>
      <c r="AC32" s="1726">
        <v>0</v>
      </c>
      <c r="AD32" s="1726">
        <v>0</v>
      </c>
      <c r="AE32" s="1726">
        <v>3.4795626957212149E-7</v>
      </c>
      <c r="AF32" s="1726">
        <v>2.9998599546731291E-6</v>
      </c>
      <c r="AG32" s="1726">
        <v>8.4622852438765243E-6</v>
      </c>
      <c r="AH32" s="1726">
        <v>1.3635658689567821E-5</v>
      </c>
      <c r="AI32" s="1726">
        <v>1.984696510166646E-5</v>
      </c>
      <c r="AJ32" s="1726">
        <v>2.836877264077815E-5</v>
      </c>
      <c r="AK32" s="1726">
        <v>3.3408352926787908E-5</v>
      </c>
      <c r="AL32" s="1726">
        <v>3.7369598252780032E-5</v>
      </c>
      <c r="AM32" s="1726"/>
    </row>
    <row r="33" spans="1:39" ht="15.75" customHeight="1" x14ac:dyDescent="0.25">
      <c r="A33" s="3"/>
      <c r="B33" s="3" t="s">
        <v>1670</v>
      </c>
      <c r="C33" s="3" t="s">
        <v>1672</v>
      </c>
      <c r="D33" s="3" t="s">
        <v>1681</v>
      </c>
      <c r="E33" s="3">
        <v>1</v>
      </c>
      <c r="F33" s="1726">
        <v>1.247233335978252E-4</v>
      </c>
      <c r="G33" s="1726">
        <v>1.9717701008844989E-4</v>
      </c>
      <c r="H33" s="1726">
        <v>2.7588013366345129E-4</v>
      </c>
      <c r="I33" s="1726">
        <v>3.6106339589210849E-4</v>
      </c>
      <c r="J33" s="1726">
        <v>3.8887763135033132E-4</v>
      </c>
      <c r="K33" s="1726">
        <v>7.0829280963418631E-4</v>
      </c>
      <c r="L33" s="1726">
        <v>1.134207391881062E-3</v>
      </c>
      <c r="M33" s="1726">
        <v>1.573995900315812E-3</v>
      </c>
      <c r="N33" s="1726">
        <v>2.028986006981899E-3</v>
      </c>
      <c r="O33" s="1726">
        <v>2.500597210496796E-3</v>
      </c>
      <c r="P33" s="1726">
        <v>2.674604537591573E-3</v>
      </c>
      <c r="Q33" s="1726">
        <v>2.7549730508543199E-3</v>
      </c>
      <c r="R33" s="1726">
        <v>2.8395959287016862E-3</v>
      </c>
      <c r="S33" s="1726">
        <v>2.9225967022920448E-3</v>
      </c>
      <c r="T33" s="1726">
        <v>3.002376059109935E-3</v>
      </c>
      <c r="U33" s="1726">
        <v>3.014141448079443E-3</v>
      </c>
      <c r="V33" s="1726">
        <v>3.0132729980100899E-3</v>
      </c>
      <c r="W33" s="1726">
        <v>3.0020573951777801E-3</v>
      </c>
      <c r="X33" s="1726">
        <v>2.9877839948934618E-3</v>
      </c>
      <c r="Y33" s="1726">
        <v>3.2291845336988329E-3</v>
      </c>
      <c r="Z33" s="1726">
        <v>3.4898536918406822E-3</v>
      </c>
      <c r="AA33" s="1726">
        <v>3.5635077387002E-3</v>
      </c>
      <c r="AB33" s="1726">
        <v>3.631456664281755E-3</v>
      </c>
      <c r="AC33" s="1726">
        <v>3.6907112787227872E-3</v>
      </c>
      <c r="AD33" s="1726">
        <v>3.7486785172294928E-3</v>
      </c>
      <c r="AE33" s="1726">
        <v>3.8036287970288122E-3</v>
      </c>
      <c r="AF33" s="1726">
        <v>3.8538017103202562E-3</v>
      </c>
      <c r="AG33" s="1726">
        <v>3.9104194446443578E-3</v>
      </c>
      <c r="AH33" s="1726">
        <v>3.9682822534737342E-3</v>
      </c>
      <c r="AI33" s="1726">
        <v>4.0277338665856326E-3</v>
      </c>
      <c r="AJ33" s="1726">
        <v>4.137621911827853E-3</v>
      </c>
      <c r="AK33" s="1726">
        <v>4.2051292642641914E-3</v>
      </c>
      <c r="AL33" s="1726">
        <v>4.2573179486642279E-3</v>
      </c>
      <c r="AM33" s="1726"/>
    </row>
    <row r="34" spans="1:39" ht="15.75" customHeight="1" x14ac:dyDescent="0.25">
      <c r="A34" s="3"/>
      <c r="B34" s="3" t="s">
        <v>1670</v>
      </c>
      <c r="C34" s="3" t="s">
        <v>1672</v>
      </c>
      <c r="D34" s="3" t="s">
        <v>1681</v>
      </c>
      <c r="E34" s="3">
        <v>1</v>
      </c>
      <c r="F34" s="1726">
        <v>0</v>
      </c>
      <c r="G34" s="1726">
        <v>0</v>
      </c>
      <c r="H34" s="1726">
        <v>0</v>
      </c>
      <c r="I34" s="1726">
        <v>0</v>
      </c>
      <c r="J34" s="1726">
        <v>0</v>
      </c>
      <c r="K34" s="1726">
        <v>0</v>
      </c>
      <c r="L34" s="1726">
        <v>0</v>
      </c>
      <c r="M34" s="1726">
        <v>0</v>
      </c>
      <c r="N34" s="1726">
        <v>0</v>
      </c>
      <c r="O34" s="1726">
        <v>0</v>
      </c>
      <c r="P34" s="1726">
        <v>0</v>
      </c>
      <c r="Q34" s="1726">
        <v>0</v>
      </c>
      <c r="R34" s="1726">
        <v>0</v>
      </c>
      <c r="S34" s="1726">
        <v>0</v>
      </c>
      <c r="T34" s="1726">
        <v>0</v>
      </c>
      <c r="U34" s="1726">
        <v>0</v>
      </c>
      <c r="V34" s="1726">
        <v>0</v>
      </c>
      <c r="W34" s="1726">
        <v>0</v>
      </c>
      <c r="X34" s="1726">
        <v>0</v>
      </c>
      <c r="Y34" s="1726">
        <v>0</v>
      </c>
      <c r="Z34" s="1726">
        <v>0</v>
      </c>
      <c r="AA34" s="1726">
        <v>0</v>
      </c>
      <c r="AB34" s="1726">
        <v>0</v>
      </c>
      <c r="AC34" s="1726">
        <v>0</v>
      </c>
      <c r="AD34" s="1726">
        <v>0</v>
      </c>
      <c r="AE34" s="1726">
        <v>0</v>
      </c>
      <c r="AF34" s="1726">
        <v>1.3101575464601649E-5</v>
      </c>
      <c r="AG34" s="1726">
        <v>2.9165918730270622E-5</v>
      </c>
      <c r="AH34" s="1726">
        <v>4.873451894469435E-5</v>
      </c>
      <c r="AI34" s="1726">
        <v>7.2264005822099514E-5</v>
      </c>
      <c r="AJ34" s="1726">
        <v>1.0163783915035379E-4</v>
      </c>
      <c r="AK34" s="1726">
        <v>1.166726243045625E-4</v>
      </c>
      <c r="AL34" s="1726">
        <v>1.3209942724156081E-4</v>
      </c>
      <c r="AM34" s="1726"/>
    </row>
    <row r="35" spans="1:39" ht="15.75" customHeight="1" x14ac:dyDescent="0.25">
      <c r="A35" s="3"/>
      <c r="B35" s="3" t="s">
        <v>1670</v>
      </c>
      <c r="C35" s="3" t="s">
        <v>1672</v>
      </c>
      <c r="D35" s="3" t="s">
        <v>1681</v>
      </c>
      <c r="E35" s="3">
        <v>1</v>
      </c>
      <c r="F35" s="1726">
        <v>0</v>
      </c>
      <c r="G35" s="1726">
        <v>0</v>
      </c>
      <c r="H35" s="1726">
        <v>0</v>
      </c>
      <c r="I35" s="1726">
        <v>0</v>
      </c>
      <c r="J35" s="1726">
        <v>0</v>
      </c>
      <c r="K35" s="1726">
        <v>0</v>
      </c>
      <c r="L35" s="1726">
        <v>0</v>
      </c>
      <c r="M35" s="1726">
        <v>0</v>
      </c>
      <c r="N35" s="1726">
        <v>0</v>
      </c>
      <c r="O35" s="1726">
        <v>0</v>
      </c>
      <c r="P35" s="1726">
        <v>0</v>
      </c>
      <c r="Q35" s="1726">
        <v>0</v>
      </c>
      <c r="R35" s="1726">
        <v>1.7077087743705959E-3</v>
      </c>
      <c r="S35" s="1726">
        <v>3.713565197960695E-3</v>
      </c>
      <c r="T35" s="1726">
        <v>4.179280302189432E-3</v>
      </c>
      <c r="U35" s="1726">
        <v>4.6591121751991434E-3</v>
      </c>
      <c r="V35" s="1726">
        <v>5.1455201124543746E-3</v>
      </c>
      <c r="W35" s="1726">
        <v>5.6404105734369284E-3</v>
      </c>
      <c r="X35" s="1726">
        <v>6.1574082226982189E-3</v>
      </c>
      <c r="Y35" s="1726">
        <v>6.7123732527916528E-3</v>
      </c>
      <c r="Z35" s="1726">
        <v>7.3082106297578248E-3</v>
      </c>
      <c r="AA35" s="1726">
        <v>7.9281830194383521E-3</v>
      </c>
      <c r="AB35" s="1726">
        <v>8.5685049432295077E-3</v>
      </c>
      <c r="AC35" s="1726">
        <v>9.2208239961475771E-3</v>
      </c>
      <c r="AD35" s="1726">
        <v>9.8917047459914312E-3</v>
      </c>
      <c r="AE35" s="1726">
        <v>1.057619178901425E-2</v>
      </c>
      <c r="AF35" s="1726">
        <v>1.016017850385739E-2</v>
      </c>
      <c r="AG35" s="1726">
        <v>9.5721053373326297E-3</v>
      </c>
      <c r="AH35" s="1726">
        <v>8.8541753035473719E-3</v>
      </c>
      <c r="AI35" s="1726">
        <v>7.8486160733754994E-3</v>
      </c>
      <c r="AJ35" s="1726">
        <v>6.601339167796534E-3</v>
      </c>
      <c r="AK35" s="1726">
        <v>6.5930091145092297E-3</v>
      </c>
      <c r="AL35" s="1726">
        <v>6.5586678031707632E-3</v>
      </c>
      <c r="AM35" s="1726"/>
    </row>
    <row r="36" spans="1:39" ht="15.75" customHeight="1" x14ac:dyDescent="0.25">
      <c r="A36" s="3"/>
      <c r="B36" s="3" t="s">
        <v>1670</v>
      </c>
      <c r="C36" s="3" t="s">
        <v>1672</v>
      </c>
      <c r="D36" s="3" t="s">
        <v>1681</v>
      </c>
      <c r="E36" s="3">
        <v>1</v>
      </c>
      <c r="F36" s="1726">
        <v>0</v>
      </c>
      <c r="G36" s="1726">
        <v>0</v>
      </c>
      <c r="H36" s="1726">
        <v>0</v>
      </c>
      <c r="I36" s="1726">
        <v>0</v>
      </c>
      <c r="J36" s="1726">
        <v>0</v>
      </c>
      <c r="K36" s="1726">
        <v>0</v>
      </c>
      <c r="L36" s="1726">
        <v>0</v>
      </c>
      <c r="M36" s="1726">
        <v>0</v>
      </c>
      <c r="N36" s="1726">
        <v>0</v>
      </c>
      <c r="O36" s="1726">
        <v>0</v>
      </c>
      <c r="P36" s="1726">
        <v>0</v>
      </c>
      <c r="Q36" s="1726">
        <v>0</v>
      </c>
      <c r="R36" s="1726">
        <v>2.7428430160660031E-3</v>
      </c>
      <c r="S36" s="1726">
        <v>5.9645570256476399E-3</v>
      </c>
      <c r="T36" s="1726">
        <v>6.7125671315165641E-3</v>
      </c>
      <c r="U36" s="1726">
        <v>7.4832509398583148E-3</v>
      </c>
      <c r="V36" s="1726">
        <v>8.2644969190805665E-3</v>
      </c>
      <c r="W36" s="1726">
        <v>9.0593671364125432E-3</v>
      </c>
      <c r="X36" s="1726">
        <v>9.8897448992260623E-3</v>
      </c>
      <c r="Y36" s="1726">
        <v>1.078110411679151E-2</v>
      </c>
      <c r="Z36" s="1726">
        <v>1.173811061148795E-2</v>
      </c>
      <c r="AA36" s="1726">
        <v>1.273388164968252E-2</v>
      </c>
      <c r="AB36" s="1726">
        <v>1.376233717035631E-2</v>
      </c>
      <c r="AC36" s="1726">
        <v>1.4810061926120111E-2</v>
      </c>
      <c r="AD36" s="1726">
        <v>1.5887599622792389E-2</v>
      </c>
      <c r="AE36" s="1726">
        <v>1.6986991119585959E-2</v>
      </c>
      <c r="AF36" s="1726">
        <v>1.6318809781580179E-2</v>
      </c>
      <c r="AG36" s="1726">
        <v>1.537427380334656E-2</v>
      </c>
      <c r="AH36" s="1726">
        <v>1.422116771831301E-2</v>
      </c>
      <c r="AI36" s="1726">
        <v>1.260608489323695E-2</v>
      </c>
      <c r="AJ36" s="1726">
        <v>1.0602766294122431E-2</v>
      </c>
      <c r="AK36" s="1726">
        <v>1.0589386946996361E-2</v>
      </c>
      <c r="AL36" s="1726">
        <v>1.053422951770812E-2</v>
      </c>
      <c r="AM36" s="1726"/>
    </row>
    <row r="37" spans="1:39" ht="15.75" customHeight="1" x14ac:dyDescent="0.25">
      <c r="A37" s="3"/>
      <c r="B37" s="3" t="s">
        <v>1670</v>
      </c>
      <c r="C37" s="3" t="s">
        <v>1672</v>
      </c>
      <c r="D37" s="3" t="s">
        <v>1681</v>
      </c>
      <c r="E37" s="3">
        <v>1</v>
      </c>
      <c r="F37" s="1726">
        <v>0</v>
      </c>
      <c r="G37" s="1726">
        <v>0</v>
      </c>
      <c r="H37" s="1726">
        <v>0</v>
      </c>
      <c r="I37" s="1726">
        <v>0</v>
      </c>
      <c r="J37" s="1726">
        <v>0</v>
      </c>
      <c r="K37" s="1726">
        <v>0</v>
      </c>
      <c r="L37" s="1726">
        <v>0</v>
      </c>
      <c r="M37" s="1726">
        <v>0</v>
      </c>
      <c r="N37" s="1726">
        <v>0</v>
      </c>
      <c r="O37" s="1726">
        <v>0</v>
      </c>
      <c r="P37" s="1726">
        <v>0</v>
      </c>
      <c r="Q37" s="1726">
        <v>7.1648841365018316E-4</v>
      </c>
      <c r="R37" s="1726">
        <v>9.2823228395742478E-3</v>
      </c>
      <c r="S37" s="1726">
        <v>1.9540836754311942E-2</v>
      </c>
      <c r="T37" s="1726">
        <v>2.233143670245033E-2</v>
      </c>
      <c r="U37" s="1726">
        <v>2.5188263459625378E-2</v>
      </c>
      <c r="V37" s="1726">
        <v>2.8125503071033751E-2</v>
      </c>
      <c r="W37" s="1726">
        <v>3.1072407602247169E-2</v>
      </c>
      <c r="X37" s="1726">
        <v>3.3848424286055903E-2</v>
      </c>
      <c r="Y37" s="1726">
        <v>3.7038994059294048E-2</v>
      </c>
      <c r="Z37" s="1726">
        <v>4.0858789031735163E-2</v>
      </c>
      <c r="AA37" s="1726">
        <v>4.5026864275097403E-2</v>
      </c>
      <c r="AB37" s="1726">
        <v>4.8976540174728737E-2</v>
      </c>
      <c r="AC37" s="1726">
        <v>5.2899313158654079E-2</v>
      </c>
      <c r="AD37" s="1726">
        <v>5.6954802390384911E-2</v>
      </c>
      <c r="AE37" s="1726">
        <v>7.3259364445124778E-2</v>
      </c>
      <c r="AF37" s="1726">
        <v>8.6693927605397375E-2</v>
      </c>
      <c r="AG37" s="1726">
        <v>0.10228506287868031</v>
      </c>
      <c r="AH37" s="1726">
        <v>0.1077841199083152</v>
      </c>
      <c r="AI37" s="1726">
        <v>0.10876803725713551</v>
      </c>
      <c r="AJ37" s="1726">
        <v>0.1072739927375284</v>
      </c>
      <c r="AK37" s="1726">
        <v>0.11119263570673329</v>
      </c>
      <c r="AL37" s="1726">
        <v>0.1227798102250202</v>
      </c>
      <c r="AM37" s="1726"/>
    </row>
    <row r="38" spans="1:39" ht="15.75" customHeight="1" x14ac:dyDescent="0.25">
      <c r="A38" s="3"/>
      <c r="B38" s="3" t="s">
        <v>1675</v>
      </c>
      <c r="C38" s="3" t="s">
        <v>1672</v>
      </c>
      <c r="D38" s="3" t="s">
        <v>1681</v>
      </c>
      <c r="E38" s="3">
        <v>1</v>
      </c>
      <c r="F38" s="1726">
        <v>0</v>
      </c>
      <c r="G38" s="1726">
        <v>0</v>
      </c>
      <c r="H38" s="1726">
        <v>0</v>
      </c>
      <c r="I38" s="1726">
        <v>0</v>
      </c>
      <c r="J38" s="1726">
        <v>0</v>
      </c>
      <c r="K38" s="1726">
        <v>0</v>
      </c>
      <c r="L38" s="1726">
        <v>0</v>
      </c>
      <c r="M38" s="1726">
        <v>0</v>
      </c>
      <c r="N38" s="1726">
        <v>0</v>
      </c>
      <c r="O38" s="1726">
        <v>0</v>
      </c>
      <c r="P38" s="1726">
        <v>0</v>
      </c>
      <c r="Q38" s="1726">
        <v>0</v>
      </c>
      <c r="R38" s="1726">
        <v>0</v>
      </c>
      <c r="S38" s="1726">
        <v>0</v>
      </c>
      <c r="T38" s="1726">
        <v>0</v>
      </c>
      <c r="U38" s="1726">
        <v>0</v>
      </c>
      <c r="V38" s="1726">
        <v>0</v>
      </c>
      <c r="W38" s="1726">
        <v>1.1007246121578339E-3</v>
      </c>
      <c r="X38" s="1726">
        <v>2.2149772754146489E-3</v>
      </c>
      <c r="Y38" s="1726">
        <v>3.3491290038821149E-3</v>
      </c>
      <c r="Z38" s="1726">
        <v>4.5122837777419791E-3</v>
      </c>
      <c r="AA38" s="1726">
        <v>5.6913676721745462E-3</v>
      </c>
      <c r="AB38" s="1726">
        <v>6.8872102676765983E-3</v>
      </c>
      <c r="AC38" s="1726">
        <v>8.086548770533818E-3</v>
      </c>
      <c r="AD38" s="1726">
        <v>8.1357555704743862E-3</v>
      </c>
      <c r="AE38" s="1726">
        <v>7.6360811401844806E-3</v>
      </c>
      <c r="AF38" s="1726">
        <v>9.3365885751559349E-3</v>
      </c>
      <c r="AG38" s="1726">
        <v>1.1005370618726071E-2</v>
      </c>
      <c r="AH38" s="1726">
        <v>1.25395667853706E-2</v>
      </c>
      <c r="AI38" s="1726">
        <v>1.2679590951652889E-2</v>
      </c>
      <c r="AJ38" s="1726">
        <v>1.2975161055288391E-2</v>
      </c>
      <c r="AK38" s="1726">
        <v>1.3135031015029089E-2</v>
      </c>
      <c r="AL38" s="1726">
        <v>7.947860668286363E-3</v>
      </c>
      <c r="AM38" s="1726"/>
    </row>
    <row r="39" spans="1:39" ht="15.75" customHeight="1" x14ac:dyDescent="0.25">
      <c r="A39" s="3"/>
      <c r="B39" s="3" t="s">
        <v>1676</v>
      </c>
      <c r="C39" s="3" t="s">
        <v>1672</v>
      </c>
      <c r="D39" s="3" t="s">
        <v>1681</v>
      </c>
      <c r="E39" s="3">
        <v>1</v>
      </c>
      <c r="F39" s="1726">
        <v>0</v>
      </c>
      <c r="G39" s="1726">
        <v>0</v>
      </c>
      <c r="H39" s="1726">
        <v>0</v>
      </c>
      <c r="I39" s="1726">
        <v>0</v>
      </c>
      <c r="J39" s="1726">
        <v>0</v>
      </c>
      <c r="K39" s="1726">
        <v>0</v>
      </c>
      <c r="L39" s="1726">
        <v>0</v>
      </c>
      <c r="M39" s="1726">
        <v>0</v>
      </c>
      <c r="N39" s="1726">
        <v>0</v>
      </c>
      <c r="O39" s="1726">
        <v>0</v>
      </c>
      <c r="P39" s="1726">
        <v>0</v>
      </c>
      <c r="Q39" s="1726">
        <v>0</v>
      </c>
      <c r="R39" s="1726">
        <v>0</v>
      </c>
      <c r="S39" s="1726">
        <v>0</v>
      </c>
      <c r="T39" s="1726">
        <v>0</v>
      </c>
      <c r="U39" s="1726">
        <v>0</v>
      </c>
      <c r="V39" s="1726">
        <v>0</v>
      </c>
      <c r="W39" s="1726">
        <v>0</v>
      </c>
      <c r="X39" s="1726">
        <v>0</v>
      </c>
      <c r="Y39" s="1726">
        <v>0</v>
      </c>
      <c r="Z39" s="1726">
        <v>0</v>
      </c>
      <c r="AA39" s="1726">
        <v>0</v>
      </c>
      <c r="AB39" s="1726">
        <v>1.523528526884633E-6</v>
      </c>
      <c r="AC39" s="1726">
        <v>3.2237108793935251E-6</v>
      </c>
      <c r="AD39" s="1726">
        <v>5.0962719585663457E-6</v>
      </c>
      <c r="AE39" s="1726">
        <v>7.1340259977809101E-6</v>
      </c>
      <c r="AF39" s="1726">
        <v>3.0981277435455008E-5</v>
      </c>
      <c r="AG39" s="1726">
        <v>5.3825890558261311E-5</v>
      </c>
      <c r="AH39" s="1726">
        <v>7.7459099645844288E-5</v>
      </c>
      <c r="AI39" s="1726">
        <v>7.8820126649919956E-5</v>
      </c>
      <c r="AJ39" s="1726">
        <v>8.1167198036158033E-5</v>
      </c>
      <c r="AK39" s="1726">
        <v>8.2686298925479829E-5</v>
      </c>
      <c r="AL39" s="1726">
        <v>8.3900525145747193E-5</v>
      </c>
      <c r="AM39" s="1726"/>
    </row>
    <row r="40" spans="1:39" ht="15.75" customHeight="1" x14ac:dyDescent="0.25">
      <c r="A40" s="3"/>
      <c r="B40" s="3" t="s">
        <v>1676</v>
      </c>
      <c r="C40" s="3" t="s">
        <v>1672</v>
      </c>
      <c r="D40" s="3" t="s">
        <v>1681</v>
      </c>
      <c r="E40" s="3">
        <v>1</v>
      </c>
      <c r="F40" s="1726">
        <v>4.3648724486724348E-3</v>
      </c>
      <c r="G40" s="1726">
        <v>9.5683674503027998E-3</v>
      </c>
      <c r="H40" s="1726">
        <v>9.5453743608877092E-3</v>
      </c>
      <c r="I40" s="1726">
        <v>9.5139138736681089E-3</v>
      </c>
      <c r="J40" s="1726">
        <v>1.0107704279922631E-2</v>
      </c>
      <c r="K40" s="1726">
        <v>1.0520308331058889E-2</v>
      </c>
      <c r="L40" s="1726">
        <v>1.2057932046140149E-2</v>
      </c>
      <c r="M40" s="1726">
        <v>1.9444489336563741E-2</v>
      </c>
      <c r="N40" s="1726">
        <v>3.008402199180911E-2</v>
      </c>
      <c r="O40" s="1726">
        <v>3.0885198370937401E-2</v>
      </c>
      <c r="P40" s="1726">
        <v>3.1240976020694079E-2</v>
      </c>
      <c r="Q40" s="1726">
        <v>3.3911006680485682E-2</v>
      </c>
      <c r="R40" s="1726">
        <v>3.6580625513052897E-2</v>
      </c>
      <c r="S40" s="1726">
        <v>3.9440624177236733E-2</v>
      </c>
      <c r="T40" s="1726">
        <v>4.2182533172040071E-2</v>
      </c>
      <c r="U40" s="1726">
        <v>4.5118501889945067E-2</v>
      </c>
      <c r="V40" s="1726">
        <v>4.6050005937018718E-2</v>
      </c>
      <c r="W40" s="1726">
        <v>4.7224581709256683E-2</v>
      </c>
      <c r="X40" s="1726">
        <v>4.7999630120141003E-2</v>
      </c>
      <c r="Y40" s="1726">
        <v>5.178273658692617E-2</v>
      </c>
      <c r="Z40" s="1726">
        <v>5.5729975068369832E-2</v>
      </c>
      <c r="AA40" s="1726">
        <v>5.9524885764521099E-2</v>
      </c>
      <c r="AB40" s="1726">
        <v>6.3288341173936155E-2</v>
      </c>
      <c r="AC40" s="1726">
        <v>6.6954017746373162E-2</v>
      </c>
      <c r="AD40" s="1726">
        <v>7.0565652555116085E-2</v>
      </c>
      <c r="AE40" s="1726">
        <v>7.4085253410499041E-2</v>
      </c>
      <c r="AF40" s="1726">
        <v>7.5274864478494311E-2</v>
      </c>
      <c r="AG40" s="1726">
        <v>7.6589818447135055E-2</v>
      </c>
      <c r="AH40" s="1726">
        <v>7.7927421294727184E-2</v>
      </c>
      <c r="AI40" s="1726">
        <v>7.9296614718906686E-2</v>
      </c>
      <c r="AJ40" s="1726">
        <v>8.1658048068623479E-2</v>
      </c>
      <c r="AK40" s="1726">
        <v>8.3186104558537352E-2</v>
      </c>
      <c r="AL40" s="1726">
        <v>8.4407861900018297E-2</v>
      </c>
      <c r="AM40" s="1726"/>
    </row>
    <row r="41" spans="1:39" ht="15.75" customHeight="1" x14ac:dyDescent="0.25">
      <c r="A41" s="3"/>
      <c r="B41" s="3" t="s">
        <v>1671</v>
      </c>
      <c r="C41" s="3" t="s">
        <v>1672</v>
      </c>
      <c r="D41" s="3" t="s">
        <v>1681</v>
      </c>
      <c r="E41" s="3">
        <v>1</v>
      </c>
      <c r="F41" s="1726">
        <v>0</v>
      </c>
      <c r="G41" s="1726">
        <v>0</v>
      </c>
      <c r="H41" s="1726">
        <v>0</v>
      </c>
      <c r="I41" s="1726">
        <v>0</v>
      </c>
      <c r="J41" s="1726">
        <v>0</v>
      </c>
      <c r="K41" s="1726">
        <v>0</v>
      </c>
      <c r="L41" s="1726">
        <v>0</v>
      </c>
      <c r="M41" s="1726">
        <v>0</v>
      </c>
      <c r="N41" s="1726">
        <v>0</v>
      </c>
      <c r="O41" s="1726">
        <v>0</v>
      </c>
      <c r="P41" s="1726">
        <v>0</v>
      </c>
      <c r="Q41" s="1726">
        <v>0</v>
      </c>
      <c r="R41" s="1726">
        <v>0</v>
      </c>
      <c r="S41" s="1726">
        <v>0</v>
      </c>
      <c r="T41" s="1726">
        <v>0</v>
      </c>
      <c r="U41" s="1726">
        <v>0</v>
      </c>
      <c r="V41" s="1726">
        <v>0</v>
      </c>
      <c r="W41" s="1726">
        <v>0</v>
      </c>
      <c r="X41" s="1726">
        <v>0</v>
      </c>
      <c r="Y41" s="1726">
        <v>0</v>
      </c>
      <c r="Z41" s="1726">
        <v>0</v>
      </c>
      <c r="AA41" s="1726">
        <v>0</v>
      </c>
      <c r="AB41" s="1726">
        <v>0</v>
      </c>
      <c r="AC41" s="1726">
        <v>0</v>
      </c>
      <c r="AD41" s="1726">
        <v>0</v>
      </c>
      <c r="AE41" s="1726">
        <v>0</v>
      </c>
      <c r="AF41" s="1726">
        <v>1.837811649006389E-9</v>
      </c>
      <c r="AG41" s="1726">
        <v>3.3548487860255717E-8</v>
      </c>
      <c r="AH41" s="1726">
        <v>1.5287883946192849E-7</v>
      </c>
      <c r="AI41" s="1726">
        <v>3.4863085126651911E-7</v>
      </c>
      <c r="AJ41" s="1726">
        <v>6.3045809933052166E-7</v>
      </c>
      <c r="AK41" s="1726">
        <v>8.94183351561074E-7</v>
      </c>
      <c r="AL41" s="1726">
        <v>1.157060582292733E-6</v>
      </c>
      <c r="AM41" s="1726"/>
    </row>
    <row r="42" spans="1:39" ht="15.75" customHeight="1" x14ac:dyDescent="0.25">
      <c r="A42" s="3"/>
      <c r="B42" s="3" t="s">
        <v>1671</v>
      </c>
      <c r="C42" s="3" t="s">
        <v>1672</v>
      </c>
      <c r="D42" s="3" t="s">
        <v>1681</v>
      </c>
      <c r="E42" s="3">
        <v>1</v>
      </c>
      <c r="F42" s="1726">
        <v>0</v>
      </c>
      <c r="G42" s="1726">
        <v>0</v>
      </c>
      <c r="H42" s="1726">
        <v>0</v>
      </c>
      <c r="I42" s="1726">
        <v>0</v>
      </c>
      <c r="J42" s="1726">
        <v>0</v>
      </c>
      <c r="K42" s="1726">
        <v>0</v>
      </c>
      <c r="L42" s="1726">
        <v>0</v>
      </c>
      <c r="M42" s="1726">
        <v>0</v>
      </c>
      <c r="N42" s="1726">
        <v>0</v>
      </c>
      <c r="O42" s="1726">
        <v>0</v>
      </c>
      <c r="P42" s="1726">
        <v>0</v>
      </c>
      <c r="Q42" s="1726">
        <v>0</v>
      </c>
      <c r="R42" s="1726">
        <v>0</v>
      </c>
      <c r="S42" s="1726">
        <v>0</v>
      </c>
      <c r="T42" s="1726">
        <v>0</v>
      </c>
      <c r="U42" s="1726">
        <v>0</v>
      </c>
      <c r="V42" s="1726">
        <v>0</v>
      </c>
      <c r="W42" s="1726">
        <v>0</v>
      </c>
      <c r="X42" s="1726">
        <v>0</v>
      </c>
      <c r="Y42" s="1726">
        <v>0</v>
      </c>
      <c r="Z42" s="1726">
        <v>0</v>
      </c>
      <c r="AA42" s="1726">
        <v>0</v>
      </c>
      <c r="AB42" s="1726">
        <v>0</v>
      </c>
      <c r="AC42" s="1726">
        <v>0</v>
      </c>
      <c r="AD42" s="1726">
        <v>0</v>
      </c>
      <c r="AE42" s="1726">
        <v>0</v>
      </c>
      <c r="AF42" s="1726">
        <v>2.8780130423440061E-9</v>
      </c>
      <c r="AG42" s="1726">
        <v>1.329106759491005E-8</v>
      </c>
      <c r="AH42" s="1726">
        <v>1.081855519445896E-7</v>
      </c>
      <c r="AI42" s="1726">
        <v>2.7675743605277213E-7</v>
      </c>
      <c r="AJ42" s="1726">
        <v>5.2428770295947707E-7</v>
      </c>
      <c r="AK42" s="1726">
        <v>8.5171286149556869E-7</v>
      </c>
      <c r="AL42" s="1726">
        <v>1.245244592194182E-6</v>
      </c>
      <c r="AM42" s="1726"/>
    </row>
    <row r="43" spans="1:39" ht="15.75" customHeight="1" x14ac:dyDescent="0.25">
      <c r="A43" s="3"/>
      <c r="B43" s="3" t="s">
        <v>1671</v>
      </c>
      <c r="C43" s="3" t="s">
        <v>1672</v>
      </c>
      <c r="D43" s="3" t="s">
        <v>1681</v>
      </c>
      <c r="E43" s="3">
        <v>1</v>
      </c>
      <c r="F43" s="1726">
        <v>0</v>
      </c>
      <c r="G43" s="1726">
        <v>0</v>
      </c>
      <c r="H43" s="1726">
        <v>0</v>
      </c>
      <c r="I43" s="1726">
        <v>0</v>
      </c>
      <c r="J43" s="1726">
        <v>0</v>
      </c>
      <c r="K43" s="1726">
        <v>0</v>
      </c>
      <c r="L43" s="1726">
        <v>0</v>
      </c>
      <c r="M43" s="1726">
        <v>0</v>
      </c>
      <c r="N43" s="1726">
        <v>0</v>
      </c>
      <c r="O43" s="1726">
        <v>0</v>
      </c>
      <c r="P43" s="1726">
        <v>0</v>
      </c>
      <c r="Q43" s="1726">
        <v>0</v>
      </c>
      <c r="R43" s="1726">
        <v>0</v>
      </c>
      <c r="S43" s="1726">
        <v>0</v>
      </c>
      <c r="T43" s="1726">
        <v>0</v>
      </c>
      <c r="U43" s="1726">
        <v>0</v>
      </c>
      <c r="V43" s="1726">
        <v>0</v>
      </c>
      <c r="W43" s="1726">
        <v>0</v>
      </c>
      <c r="X43" s="1726">
        <v>0</v>
      </c>
      <c r="Y43" s="1726">
        <v>0</v>
      </c>
      <c r="Z43" s="1726">
        <v>0</v>
      </c>
      <c r="AA43" s="1726">
        <v>0</v>
      </c>
      <c r="AB43" s="1726">
        <v>3.5934897776974939E-8</v>
      </c>
      <c r="AC43" s="1726">
        <v>1.081235443123029E-7</v>
      </c>
      <c r="AD43" s="1726">
        <v>2.1728362971499169E-7</v>
      </c>
      <c r="AE43" s="1726">
        <v>3.6382278027371352E-7</v>
      </c>
      <c r="AF43" s="1726">
        <v>2.9783796121195421E-6</v>
      </c>
      <c r="AG43" s="1726">
        <v>8.0795574946641974E-6</v>
      </c>
      <c r="AH43" s="1726">
        <v>1.579157949094636E-5</v>
      </c>
      <c r="AI43" s="1726">
        <v>2.6157024609814709E-5</v>
      </c>
      <c r="AJ43" s="1726">
        <v>3.9695991371043653E-5</v>
      </c>
      <c r="AK43" s="1726">
        <v>5.5681906155286187E-5</v>
      </c>
      <c r="AL43" s="1726">
        <v>7.1690241774407298E-5</v>
      </c>
      <c r="AM43" s="1726"/>
    </row>
    <row r="44" spans="1:39" ht="15.75" customHeight="1" x14ac:dyDescent="0.25">
      <c r="A44" s="3"/>
      <c r="B44" s="3" t="s">
        <v>1671</v>
      </c>
      <c r="C44" s="3" t="s">
        <v>1672</v>
      </c>
      <c r="D44" s="3" t="s">
        <v>1681</v>
      </c>
      <c r="E44" s="3">
        <v>1</v>
      </c>
      <c r="F44" s="1726">
        <v>2.9031034812594149E-4</v>
      </c>
      <c r="G44" s="1726">
        <v>2.975197106017375E-4</v>
      </c>
      <c r="H44" s="1726">
        <v>3.0069812787212409E-4</v>
      </c>
      <c r="I44" s="1726">
        <v>4.0259192689320043E-4</v>
      </c>
      <c r="J44" s="1726">
        <v>4.8785626605673231E-4</v>
      </c>
      <c r="K44" s="1726">
        <v>5.5906053893379094E-4</v>
      </c>
      <c r="L44" s="1726">
        <v>6.0869327819823148E-4</v>
      </c>
      <c r="M44" s="1726">
        <v>6.4399197937944983E-4</v>
      </c>
      <c r="N44" s="1726">
        <v>5.9664645311106163E-4</v>
      </c>
      <c r="O44" s="1726">
        <v>5.4598996820866687E-4</v>
      </c>
      <c r="P44" s="1726">
        <v>4.965886885352341E-4</v>
      </c>
      <c r="Q44" s="1726">
        <v>4.4894016121761591E-4</v>
      </c>
      <c r="R44" s="1726">
        <v>4.019718012339951E-4</v>
      </c>
      <c r="S44" s="1726">
        <v>3.5480494049047669E-4</v>
      </c>
      <c r="T44" s="1726">
        <v>3.066052203031383E-4</v>
      </c>
      <c r="U44" s="1726">
        <v>2.6444229335435311E-4</v>
      </c>
      <c r="V44" s="1726">
        <v>2.2512721406746909E-4</v>
      </c>
      <c r="W44" s="1726">
        <v>1.846163882354533E-4</v>
      </c>
      <c r="X44" s="1726">
        <v>1.496261537615266E-4</v>
      </c>
      <c r="Y44" s="1726">
        <v>1.2706510728246339E-4</v>
      </c>
      <c r="Z44" s="1726">
        <v>1.109045810518742E-4</v>
      </c>
      <c r="AA44" s="1726">
        <v>1.011116372031662E-4</v>
      </c>
      <c r="AB44" s="1726">
        <v>9.4949561573279362E-5</v>
      </c>
      <c r="AC44" s="1726">
        <v>8.6786595895018434E-5</v>
      </c>
      <c r="AD44" s="1726">
        <v>7.8163734143732477E-5</v>
      </c>
      <c r="AE44" s="1726">
        <v>6.802027379099758E-5</v>
      </c>
      <c r="AF44" s="1726">
        <v>5.7444225094985153E-5</v>
      </c>
      <c r="AG44" s="1726">
        <v>4.6441875713221852E-5</v>
      </c>
      <c r="AH44" s="1726">
        <v>3.4686603080358377E-5</v>
      </c>
      <c r="AI44" s="1726">
        <v>2.2091812105766158E-5</v>
      </c>
      <c r="AJ44" s="1726">
        <v>1.13368522331657E-5</v>
      </c>
      <c r="AK44" s="1726">
        <v>4.5970001054348693E-6</v>
      </c>
      <c r="AL44" s="1726">
        <v>3.4404609924016349E-6</v>
      </c>
      <c r="AM44" s="1726"/>
    </row>
    <row r="45" spans="1:39" ht="15.75" customHeight="1" x14ac:dyDescent="0.25">
      <c r="A45" s="3"/>
      <c r="B45" s="3" t="s">
        <v>1671</v>
      </c>
      <c r="C45" s="3" t="s">
        <v>1672</v>
      </c>
      <c r="D45" s="3" t="s">
        <v>1681</v>
      </c>
      <c r="E45" s="3">
        <v>1</v>
      </c>
      <c r="F45" s="1726">
        <v>0</v>
      </c>
      <c r="G45" s="1726">
        <v>0</v>
      </c>
      <c r="H45" s="1726">
        <v>0</v>
      </c>
      <c r="I45" s="1726">
        <v>0</v>
      </c>
      <c r="J45" s="1726">
        <v>0</v>
      </c>
      <c r="K45" s="1726">
        <v>0</v>
      </c>
      <c r="L45" s="1726">
        <v>0</v>
      </c>
      <c r="M45" s="1726">
        <v>0</v>
      </c>
      <c r="N45" s="1726">
        <v>0</v>
      </c>
      <c r="O45" s="1726">
        <v>0</v>
      </c>
      <c r="P45" s="1726">
        <v>0</v>
      </c>
      <c r="Q45" s="1726">
        <v>0</v>
      </c>
      <c r="R45" s="1726">
        <v>0</v>
      </c>
      <c r="S45" s="1726">
        <v>0</v>
      </c>
      <c r="T45" s="1726">
        <v>0</v>
      </c>
      <c r="U45" s="1726">
        <v>0</v>
      </c>
      <c r="V45" s="1726">
        <v>0</v>
      </c>
      <c r="W45" s="1726">
        <v>0</v>
      </c>
      <c r="X45" s="1726">
        <v>0</v>
      </c>
      <c r="Y45" s="1726">
        <v>0</v>
      </c>
      <c r="Z45" s="1726">
        <v>0</v>
      </c>
      <c r="AA45" s="1726">
        <v>0</v>
      </c>
      <c r="AB45" s="1726">
        <v>0</v>
      </c>
      <c r="AC45" s="1726">
        <v>0</v>
      </c>
      <c r="AD45" s="1726">
        <v>0</v>
      </c>
      <c r="AE45" s="1726">
        <v>0</v>
      </c>
      <c r="AF45" s="1726">
        <v>0</v>
      </c>
      <c r="AG45" s="1726">
        <v>8.4905173046988157E-9</v>
      </c>
      <c r="AH45" s="1726">
        <v>1.685686704046971E-7</v>
      </c>
      <c r="AI45" s="1726">
        <v>4.5217038298441959E-7</v>
      </c>
      <c r="AJ45" s="1726">
        <v>8.7586377635774505E-7</v>
      </c>
      <c r="AK45" s="1726">
        <v>1.269677816048749E-6</v>
      </c>
      <c r="AL45" s="1726">
        <v>1.662761385020966E-6</v>
      </c>
      <c r="AM45" s="1726"/>
    </row>
    <row r="46" spans="1:39" ht="15.75" customHeight="1" x14ac:dyDescent="0.25">
      <c r="A46" s="3"/>
      <c r="B46" s="3" t="s">
        <v>1682</v>
      </c>
      <c r="C46" s="3" t="s">
        <v>1672</v>
      </c>
      <c r="D46" s="3" t="s">
        <v>1681</v>
      </c>
      <c r="E46" s="3">
        <v>1</v>
      </c>
      <c r="F46" s="1726">
        <v>0</v>
      </c>
      <c r="G46" s="1726">
        <v>0</v>
      </c>
      <c r="H46" s="1726">
        <v>0</v>
      </c>
      <c r="I46" s="1726">
        <v>0</v>
      </c>
      <c r="J46" s="1726">
        <v>0</v>
      </c>
      <c r="K46" s="1726">
        <v>1.170882409104034E-2</v>
      </c>
      <c r="L46" s="1726">
        <v>2.3805778997884171E-2</v>
      </c>
      <c r="M46" s="1726">
        <v>2.4205965421110219E-2</v>
      </c>
      <c r="N46" s="1726">
        <v>2.4627055109842449E-2</v>
      </c>
      <c r="O46" s="1726">
        <v>2.5071957605381841E-2</v>
      </c>
      <c r="P46" s="1726">
        <v>2.5563650023576429E-2</v>
      </c>
      <c r="Q46" s="1726">
        <v>2.6130624026393531E-2</v>
      </c>
      <c r="R46" s="1726">
        <v>2.67332536599886E-2</v>
      </c>
      <c r="S46" s="1726">
        <v>2.731530386864716E-2</v>
      </c>
      <c r="T46" s="1726">
        <v>2.7862991047383129E-2</v>
      </c>
      <c r="U46" s="1726">
        <v>2.8394561883881779E-2</v>
      </c>
      <c r="V46" s="1726">
        <v>2.8869316750085989E-2</v>
      </c>
      <c r="W46" s="1726">
        <v>2.9308975968077071E-2</v>
      </c>
      <c r="X46" s="1726">
        <v>2.9785157542538639E-2</v>
      </c>
      <c r="Y46" s="1726">
        <v>3.0362264191720709E-2</v>
      </c>
      <c r="Z46" s="1726">
        <v>3.103227403626806E-2</v>
      </c>
      <c r="AA46" s="1726">
        <v>3.1710293425038373E-2</v>
      </c>
      <c r="AB46" s="1726">
        <v>3.2380473308252521E-2</v>
      </c>
      <c r="AC46" s="1726">
        <v>3.3012349052362798E-2</v>
      </c>
      <c r="AD46" s="1726">
        <v>3.3632343709609977E-2</v>
      </c>
      <c r="AE46" s="1726">
        <v>3.42254472906625E-2</v>
      </c>
      <c r="AF46" s="1726">
        <v>3.4775136345906607E-2</v>
      </c>
      <c r="AG46" s="1726">
        <v>3.5382737684634943E-2</v>
      </c>
      <c r="AH46" s="1726">
        <v>3.6000552816871603E-2</v>
      </c>
      <c r="AI46" s="1726">
        <v>3.6633303426304963E-2</v>
      </c>
      <c r="AJ46" s="1726">
        <v>3.7724242229892728E-2</v>
      </c>
      <c r="AK46" s="1726">
        <v>3.8430274994460813E-2</v>
      </c>
      <c r="AL46" s="1726">
        <v>3.8994606853582803E-2</v>
      </c>
      <c r="AM46" s="1726"/>
    </row>
    <row r="47" spans="1:39" ht="15.75" customHeight="1" x14ac:dyDescent="0.25">
      <c r="A47" s="3"/>
      <c r="B47" s="3" t="s">
        <v>1668</v>
      </c>
      <c r="C47" s="3" t="s">
        <v>1683</v>
      </c>
      <c r="D47" s="3" t="s">
        <v>1684</v>
      </c>
      <c r="E47" s="3">
        <v>1</v>
      </c>
      <c r="F47" s="1726">
        <v>0</v>
      </c>
      <c r="G47" s="1726">
        <v>0</v>
      </c>
      <c r="H47" s="1726">
        <v>0</v>
      </c>
      <c r="I47" s="1726">
        <v>0</v>
      </c>
      <c r="J47" s="1726">
        <v>1.730075103327022E-6</v>
      </c>
      <c r="K47" s="1726">
        <v>1.8982374997809811E-5</v>
      </c>
      <c r="L47" s="1726">
        <v>4.6437387530386493E-5</v>
      </c>
      <c r="M47" s="1726">
        <v>8.7441359123456103E-5</v>
      </c>
      <c r="N47" s="1726">
        <v>1.4194214505537371E-4</v>
      </c>
      <c r="O47" s="1726">
        <v>2.1507209919800421E-4</v>
      </c>
      <c r="P47" s="1726">
        <v>2.8324089609362658E-4</v>
      </c>
      <c r="Q47" s="1726">
        <v>3.5053158270654779E-4</v>
      </c>
      <c r="R47" s="1726">
        <v>4.1332150691218369E-4</v>
      </c>
      <c r="S47" s="1726">
        <v>4.140409753710037E-4</v>
      </c>
      <c r="T47" s="1726">
        <v>4.140615909845461E-4</v>
      </c>
      <c r="U47" s="1726">
        <v>4.1368498955670361E-4</v>
      </c>
      <c r="V47" s="1726">
        <v>4.1235756975534021E-4</v>
      </c>
      <c r="W47" s="1726">
        <v>4.1043121464390991E-4</v>
      </c>
      <c r="X47" s="1726">
        <v>4.08921719024073E-4</v>
      </c>
      <c r="Y47" s="1726">
        <v>4.0866952997223088E-4</v>
      </c>
      <c r="Z47" s="1726">
        <v>4.0949655637933401E-4</v>
      </c>
      <c r="AA47" s="1726">
        <v>4.102413353428481E-4</v>
      </c>
      <c r="AB47" s="1726">
        <v>4.1069513067581867E-4</v>
      </c>
      <c r="AC47" s="1726">
        <v>4.1049918227609259E-4</v>
      </c>
      <c r="AD47" s="1726">
        <v>4.1000958621623801E-4</v>
      </c>
      <c r="AE47" s="1726">
        <v>4.0906078520429898E-4</v>
      </c>
      <c r="AF47" s="1726">
        <v>4.0747959881769658E-4</v>
      </c>
      <c r="AG47" s="1726">
        <v>4.0646834581289058E-4</v>
      </c>
      <c r="AH47" s="1726">
        <v>4.0545808953945921E-4</v>
      </c>
      <c r="AI47" s="1726">
        <v>4.0449205830880489E-4</v>
      </c>
      <c r="AJ47" s="1726">
        <v>4.0837034701596048E-4</v>
      </c>
      <c r="AK47" s="1726">
        <v>4.0785503540037322E-4</v>
      </c>
      <c r="AL47" s="1726">
        <v>4.0573062202426801E-4</v>
      </c>
      <c r="AM47" s="1726"/>
    </row>
    <row r="48" spans="1:39" ht="15.75" customHeight="1" x14ac:dyDescent="0.25">
      <c r="A48" s="3"/>
      <c r="B48" s="3" t="s">
        <v>1682</v>
      </c>
      <c r="C48" s="3" t="s">
        <v>1683</v>
      </c>
      <c r="D48" s="3" t="s">
        <v>1684</v>
      </c>
      <c r="E48" s="3">
        <v>1</v>
      </c>
      <c r="F48" s="1726">
        <v>0</v>
      </c>
      <c r="G48" s="1726">
        <v>0</v>
      </c>
      <c r="H48" s="1726">
        <v>0</v>
      </c>
      <c r="I48" s="1726">
        <v>0</v>
      </c>
      <c r="J48" s="1726">
        <v>0</v>
      </c>
      <c r="K48" s="1726">
        <v>8.4467123263104963E-3</v>
      </c>
      <c r="L48" s="1726">
        <v>2.0301661219126362E-2</v>
      </c>
      <c r="M48" s="1726">
        <v>2.3824866830930491E-2</v>
      </c>
      <c r="N48" s="1726">
        <v>2.4238786833933049E-2</v>
      </c>
      <c r="O48" s="1726">
        <v>2.4677380454446372E-2</v>
      </c>
      <c r="P48" s="1726">
        <v>1.9499651982604109E-2</v>
      </c>
      <c r="Q48" s="1726">
        <v>1.414579309142471E-2</v>
      </c>
      <c r="R48" s="1726">
        <v>8.5523922488350921E-3</v>
      </c>
      <c r="S48" s="1726">
        <v>2.6883531885423242E-3</v>
      </c>
      <c r="T48" s="1726">
        <v>2.743143100290983E-3</v>
      </c>
      <c r="U48" s="1726">
        <v>2.2359084093005548E-3</v>
      </c>
      <c r="V48" s="1726">
        <v>1.70354709556809E-3</v>
      </c>
      <c r="W48" s="1726">
        <v>1.1538204020262769E-3</v>
      </c>
      <c r="X48" s="1726">
        <v>5.8645925518091644E-4</v>
      </c>
      <c r="Y48" s="1726">
        <v>0</v>
      </c>
      <c r="Z48" s="1726">
        <v>0</v>
      </c>
      <c r="AA48" s="1726">
        <v>0</v>
      </c>
      <c r="AB48" s="1726">
        <v>0</v>
      </c>
      <c r="AC48" s="1726">
        <v>0</v>
      </c>
      <c r="AD48" s="1726">
        <v>0</v>
      </c>
      <c r="AE48" s="1726">
        <v>0</v>
      </c>
      <c r="AF48" s="1726">
        <v>0</v>
      </c>
      <c r="AG48" s="1726">
        <v>0</v>
      </c>
      <c r="AH48" s="1726">
        <v>0</v>
      </c>
      <c r="AI48" s="1726">
        <v>0</v>
      </c>
      <c r="AJ48" s="1726">
        <v>0</v>
      </c>
      <c r="AK48" s="1726">
        <v>0</v>
      </c>
      <c r="AL48" s="1726">
        <v>0</v>
      </c>
      <c r="AM48" s="1726"/>
    </row>
    <row r="49" spans="1:39" ht="15.75" customHeight="1" x14ac:dyDescent="0.25">
      <c r="A49" s="3"/>
      <c r="B49" s="3" t="s">
        <v>1668</v>
      </c>
      <c r="C49" s="3" t="s">
        <v>1683</v>
      </c>
      <c r="D49" s="3" t="s">
        <v>1685</v>
      </c>
      <c r="E49" s="3">
        <v>6630</v>
      </c>
      <c r="F49" s="1726">
        <v>0</v>
      </c>
      <c r="G49" s="1726">
        <v>0</v>
      </c>
      <c r="H49" s="1726">
        <v>0</v>
      </c>
      <c r="I49" s="1726">
        <v>0</v>
      </c>
      <c r="J49" s="1726">
        <v>4.4884165832836251E-7</v>
      </c>
      <c r="K49" s="1726">
        <v>1.4425854706833569E-6</v>
      </c>
      <c r="L49" s="1726">
        <v>1.303903514699833E-5</v>
      </c>
      <c r="M49" s="1726">
        <v>3.5782524872607343E-5</v>
      </c>
      <c r="N49" s="1726">
        <v>7.034657170195606E-5</v>
      </c>
      <c r="O49" s="1726">
        <v>1.1730201498121869E-4</v>
      </c>
      <c r="P49" s="1726">
        <v>1.77164732379384E-4</v>
      </c>
      <c r="Q49" s="1726">
        <v>2.3890872183542661E-4</v>
      </c>
      <c r="R49" s="1726">
        <v>2.9247235308203383E-4</v>
      </c>
      <c r="S49" s="1726">
        <v>3.3651268041300341E-4</v>
      </c>
      <c r="T49" s="1726">
        <v>3.7015761635671358E-4</v>
      </c>
      <c r="U49" s="1726">
        <v>3.9282960897999531E-4</v>
      </c>
      <c r="V49" s="1726">
        <v>4.033571200107217E-4</v>
      </c>
      <c r="W49" s="1726">
        <v>4.1350030420114872E-4</v>
      </c>
      <c r="X49" s="1726">
        <v>4.2435406911593812E-4</v>
      </c>
      <c r="Y49" s="1726">
        <v>4.3680144684259792E-4</v>
      </c>
      <c r="Z49" s="1726">
        <v>4.508120476563058E-4</v>
      </c>
      <c r="AA49" s="1726">
        <v>4.6517504069101248E-4</v>
      </c>
      <c r="AB49" s="1726">
        <v>4.7968976394474697E-4</v>
      </c>
      <c r="AC49" s="1726">
        <v>4.9384717915311894E-4</v>
      </c>
      <c r="AD49" s="1726">
        <v>5.0801962985677228E-4</v>
      </c>
      <c r="AE49" s="1726">
        <v>5.2206059846655298E-4</v>
      </c>
      <c r="AF49" s="1726">
        <v>5.3563902659882739E-4</v>
      </c>
      <c r="AG49" s="1726">
        <v>5.5035359376891116E-4</v>
      </c>
      <c r="AH49" s="1726">
        <v>5.6542619143398667E-4</v>
      </c>
      <c r="AI49" s="1726">
        <v>5.8101252390705045E-4</v>
      </c>
      <c r="AJ49" s="1726">
        <v>5.4511363290616125E-4</v>
      </c>
      <c r="AK49" s="1726">
        <v>5.0178884012394391E-4</v>
      </c>
      <c r="AL49" s="1726">
        <v>4.5545000749478819E-4</v>
      </c>
      <c r="AM49" s="1726"/>
    </row>
    <row r="50" spans="1:39"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row>
    <row r="51" spans="1:39" ht="15.75" customHeight="1" x14ac:dyDescent="0.25">
      <c r="A51" s="3"/>
      <c r="B51" s="1727" t="s">
        <v>1686</v>
      </c>
      <c r="C51" s="1724"/>
      <c r="D51" s="1724"/>
      <c r="E51" s="1724"/>
      <c r="F51" s="1724"/>
      <c r="G51" s="1724"/>
      <c r="H51" s="1724"/>
      <c r="I51" s="1724"/>
      <c r="J51" s="1724"/>
      <c r="K51" s="1724"/>
      <c r="L51" s="1724"/>
      <c r="M51" s="1724"/>
      <c r="N51" s="1724"/>
      <c r="O51" s="1724"/>
      <c r="P51" s="1724"/>
      <c r="Q51" s="1724"/>
      <c r="R51" s="1724"/>
      <c r="S51" s="1724"/>
      <c r="T51" s="1724"/>
      <c r="U51" s="1724"/>
      <c r="V51" s="1724"/>
      <c r="W51" s="1724"/>
      <c r="X51" s="1724"/>
      <c r="Y51" s="1724"/>
      <c r="Z51" s="1724"/>
      <c r="AA51" s="1724"/>
      <c r="AB51" s="1724"/>
      <c r="AC51" s="1724"/>
      <c r="AD51" s="1724"/>
      <c r="AE51" s="1724"/>
      <c r="AF51" s="1724"/>
      <c r="AG51" s="1724"/>
      <c r="AH51" s="1724"/>
      <c r="AI51" s="1724"/>
      <c r="AJ51" s="1724"/>
      <c r="AK51" s="1724"/>
      <c r="AL51" s="1724"/>
      <c r="AM51" s="1725"/>
    </row>
    <row r="52" spans="1:39"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39" ht="15.75" customHeight="1" x14ac:dyDescent="0.25">
      <c r="A53" s="3"/>
      <c r="B53" s="1714" t="s">
        <v>1617</v>
      </c>
      <c r="C53" s="3" t="s">
        <v>1618</v>
      </c>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row>
    <row r="54" spans="1:39" ht="15.75" customHeight="1" x14ac:dyDescent="0.25">
      <c r="A54" s="3"/>
      <c r="B54" s="1714" t="s">
        <v>1619</v>
      </c>
      <c r="C54" s="3" t="s">
        <v>1687</v>
      </c>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row>
    <row r="55" spans="1:39" ht="15.75" customHeight="1" x14ac:dyDescent="0.25">
      <c r="A55" s="3"/>
      <c r="B55" s="1714" t="s">
        <v>1621</v>
      </c>
      <c r="C55" s="3" t="s">
        <v>1688</v>
      </c>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row>
    <row r="56" spans="1:39"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row>
    <row r="57" spans="1:39" ht="15.75" customHeight="1" x14ac:dyDescent="0.25">
      <c r="A57" s="3"/>
      <c r="B57" s="3" t="s">
        <v>1689</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row>
    <row r="58" spans="1:39" ht="15.75" customHeight="1" x14ac:dyDescent="0.25">
      <c r="A58" s="3"/>
      <c r="B58" s="3" t="s">
        <v>1690</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row>
    <row r="59" spans="1:39" ht="15.75" customHeight="1" x14ac:dyDescent="0.25">
      <c r="A59" s="3"/>
      <c r="B59" s="3" t="s">
        <v>1691</v>
      </c>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row>
    <row r="60" spans="1:39" ht="15.75" customHeight="1" x14ac:dyDescent="0.25">
      <c r="A60" s="3"/>
      <c r="B60" s="3" t="s">
        <v>1692</v>
      </c>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row>
    <row r="61" spans="1:39"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row>
    <row r="62" spans="1:39" ht="15.75" customHeight="1" x14ac:dyDescent="0.25">
      <c r="A62" s="3"/>
      <c r="B62" s="1714" t="s">
        <v>1621</v>
      </c>
      <c r="C62" s="3" t="s">
        <v>1693</v>
      </c>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row>
    <row r="63" spans="1:39" ht="15.75" customHeight="1" x14ac:dyDescent="0.25">
      <c r="A63" s="3"/>
      <c r="B63" s="1714"/>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row>
    <row r="64" spans="1:39" ht="15.75" customHeight="1" x14ac:dyDescent="0.25">
      <c r="A64" s="3"/>
      <c r="B64" s="3" t="s">
        <v>1694</v>
      </c>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row>
    <row r="65" spans="1:39"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row>
    <row r="66" spans="1:39" ht="15.75" customHeight="1" x14ac:dyDescent="0.25">
      <c r="A66" s="3"/>
      <c r="B66" s="1727" t="s">
        <v>1695</v>
      </c>
      <c r="C66" s="1724"/>
      <c r="D66" s="1724"/>
      <c r="E66" s="1724"/>
      <c r="F66" s="1724"/>
      <c r="G66" s="1724"/>
      <c r="H66" s="1724"/>
      <c r="I66" s="1724"/>
      <c r="J66" s="1724"/>
      <c r="K66" s="1724"/>
      <c r="L66" s="1724"/>
      <c r="M66" s="1724"/>
      <c r="N66" s="1724"/>
      <c r="O66" s="1724"/>
      <c r="P66" s="1724"/>
      <c r="Q66" s="1724"/>
      <c r="R66" s="1724"/>
      <c r="S66" s="1724"/>
      <c r="T66" s="1724"/>
      <c r="U66" s="1724"/>
      <c r="V66" s="1724"/>
      <c r="W66" s="1724"/>
      <c r="X66" s="1724"/>
      <c r="Y66" s="1724"/>
      <c r="Z66" s="1724"/>
      <c r="AA66" s="1724"/>
      <c r="AB66" s="1724"/>
      <c r="AC66" s="1724"/>
      <c r="AD66" s="1724"/>
      <c r="AE66" s="1724"/>
      <c r="AF66" s="1724"/>
      <c r="AG66" s="1724"/>
      <c r="AH66" s="1724"/>
      <c r="AI66" s="1724"/>
      <c r="AJ66" s="1724"/>
      <c r="AK66" s="1724"/>
      <c r="AL66" s="1724"/>
      <c r="AM66" s="1725"/>
    </row>
    <row r="67" spans="1:39"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row>
    <row r="68" spans="1:39" ht="15.75" customHeight="1" x14ac:dyDescent="0.25">
      <c r="A68" s="3"/>
      <c r="B68" s="1714" t="s">
        <v>1617</v>
      </c>
      <c r="C68" s="3" t="s">
        <v>1696</v>
      </c>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row>
    <row r="69" spans="1:39" ht="15.75" customHeight="1" x14ac:dyDescent="0.25">
      <c r="A69" s="3"/>
      <c r="B69" s="1714" t="s">
        <v>1619</v>
      </c>
      <c r="C69" s="3" t="s">
        <v>1697</v>
      </c>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row>
    <row r="70" spans="1:39" ht="15.75" customHeight="1" x14ac:dyDescent="0.25">
      <c r="A70" s="3"/>
      <c r="B70" s="1714" t="s">
        <v>1621</v>
      </c>
      <c r="C70" s="3" t="s">
        <v>1698</v>
      </c>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row>
    <row r="71" spans="1:39"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row>
    <row r="72" spans="1:39" ht="15.75" customHeight="1" x14ac:dyDescent="0.25">
      <c r="A72" s="3"/>
      <c r="B72" s="1714" t="s">
        <v>313</v>
      </c>
      <c r="C72" s="1714" t="s">
        <v>2</v>
      </c>
      <c r="D72" s="1714" t="s">
        <v>1699</v>
      </c>
      <c r="E72" s="1714" t="s">
        <v>1700</v>
      </c>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row>
    <row r="73" spans="1:39" ht="15.75" customHeight="1" x14ac:dyDescent="0.25">
      <c r="A73" s="3"/>
      <c r="B73" s="3" t="s">
        <v>1669</v>
      </c>
      <c r="C73" s="3">
        <v>1</v>
      </c>
      <c r="D73" s="3">
        <v>1</v>
      </c>
      <c r="E73" s="1728">
        <f t="shared" ref="E73:E80" si="0">D73/C73</f>
        <v>1</v>
      </c>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row>
    <row r="74" spans="1:39" ht="15.75" customHeight="1" x14ac:dyDescent="0.25">
      <c r="A74" s="3"/>
      <c r="B74" s="3" t="s">
        <v>1673</v>
      </c>
      <c r="C74" s="3">
        <v>3170</v>
      </c>
      <c r="D74" s="3">
        <v>3740</v>
      </c>
      <c r="E74" s="1728">
        <f t="shared" si="0"/>
        <v>1.1798107255520505</v>
      </c>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row>
    <row r="75" spans="1:39" ht="15.75" customHeight="1" x14ac:dyDescent="0.25">
      <c r="A75" s="3"/>
      <c r="B75" s="3" t="s">
        <v>1674</v>
      </c>
      <c r="C75" s="3">
        <v>1300</v>
      </c>
      <c r="D75" s="3">
        <v>1530</v>
      </c>
      <c r="E75" s="1728">
        <f t="shared" si="0"/>
        <v>1.176923076923077</v>
      </c>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row>
    <row r="76" spans="1:39" ht="15.75" customHeight="1" x14ac:dyDescent="0.25">
      <c r="A76" s="3"/>
      <c r="B76" s="3" t="s">
        <v>1677</v>
      </c>
      <c r="C76" s="3">
        <v>4800</v>
      </c>
      <c r="D76" s="3">
        <v>5810</v>
      </c>
      <c r="E76" s="1728">
        <f t="shared" si="0"/>
        <v>1.2104166666666667</v>
      </c>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row>
    <row r="77" spans="1:39" ht="15.75" customHeight="1" x14ac:dyDescent="0.25">
      <c r="A77" s="3"/>
      <c r="B77" s="3" t="s">
        <v>1678</v>
      </c>
      <c r="C77" s="3">
        <v>12400</v>
      </c>
      <c r="D77" s="3">
        <v>14600</v>
      </c>
      <c r="E77" s="1728">
        <f t="shared" si="0"/>
        <v>1.1774193548387097</v>
      </c>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row>
    <row r="78" spans="1:39" ht="15.75" customHeight="1" x14ac:dyDescent="0.25">
      <c r="A78" s="3"/>
      <c r="B78" s="3" t="s">
        <v>1679</v>
      </c>
      <c r="C78" s="3">
        <v>8060</v>
      </c>
      <c r="D78" s="3">
        <v>8690</v>
      </c>
      <c r="E78" s="1728">
        <f t="shared" si="0"/>
        <v>1.0781637717121588</v>
      </c>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row>
    <row r="79" spans="1:39" ht="15.75" customHeight="1" x14ac:dyDescent="0.25">
      <c r="A79" s="3"/>
      <c r="B79" s="3" t="s">
        <v>1680</v>
      </c>
      <c r="C79" s="3">
        <v>677</v>
      </c>
      <c r="D79" s="3">
        <v>771</v>
      </c>
      <c r="E79" s="1728">
        <f t="shared" si="0"/>
        <v>1.138847858197932</v>
      </c>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row>
    <row r="80" spans="1:39" ht="15.75" customHeight="1" x14ac:dyDescent="0.25">
      <c r="A80" s="3"/>
      <c r="B80" s="3" t="s">
        <v>1685</v>
      </c>
      <c r="C80" s="3">
        <v>6630</v>
      </c>
      <c r="D80" s="3">
        <v>7380</v>
      </c>
      <c r="E80" s="1728">
        <f t="shared" si="0"/>
        <v>1.1131221719457014</v>
      </c>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row>
    <row r="81" spans="1:39"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row>
    <row r="82" spans="1:39" ht="15.75" customHeight="1" x14ac:dyDescent="0.25">
      <c r="A82" s="3"/>
      <c r="B82" s="1714" t="s">
        <v>313</v>
      </c>
      <c r="C82" s="1714" t="s">
        <v>2</v>
      </c>
      <c r="D82" s="1714" t="s">
        <v>1699</v>
      </c>
      <c r="E82" s="1714" t="s">
        <v>1700</v>
      </c>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row>
    <row r="83" spans="1:39" ht="15.75" customHeight="1" x14ac:dyDescent="0.25">
      <c r="A83" s="3"/>
      <c r="B83" s="3" t="s">
        <v>1701</v>
      </c>
      <c r="C83" s="3">
        <v>138</v>
      </c>
      <c r="D83" s="3">
        <v>164</v>
      </c>
      <c r="E83" s="1728">
        <f t="shared" ref="E83:E87" si="1">D83/C83</f>
        <v>1.1884057971014492</v>
      </c>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row>
    <row r="84" spans="1:39" ht="15.75" customHeight="1" x14ac:dyDescent="0.25">
      <c r="A84" s="3"/>
      <c r="B84" s="3" t="s">
        <v>1702</v>
      </c>
      <c r="C84" s="3">
        <v>3350</v>
      </c>
      <c r="D84" s="3">
        <v>3600</v>
      </c>
      <c r="E84" s="1728">
        <f t="shared" si="1"/>
        <v>1.0746268656716418</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row>
    <row r="85" spans="1:39" ht="15.75" customHeight="1" x14ac:dyDescent="0.25">
      <c r="A85" s="3"/>
      <c r="B85" s="3" t="s">
        <v>1703</v>
      </c>
      <c r="C85" s="3">
        <v>858</v>
      </c>
      <c r="D85" s="3">
        <v>962</v>
      </c>
      <c r="E85" s="1728">
        <f t="shared" si="1"/>
        <v>1.1212121212121211</v>
      </c>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row>
    <row r="86" spans="1:39" ht="15.75" customHeight="1" x14ac:dyDescent="0.25">
      <c r="A86" s="3"/>
      <c r="B86" s="3" t="s">
        <v>1704</v>
      </c>
      <c r="C86" s="3">
        <v>804</v>
      </c>
      <c r="D86" s="3">
        <v>914</v>
      </c>
      <c r="E86" s="1728">
        <f t="shared" si="1"/>
        <v>1.1368159203980099</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row>
    <row r="87" spans="1:39" ht="15.75" customHeight="1" x14ac:dyDescent="0.25">
      <c r="A87" s="3"/>
      <c r="B87" s="3" t="s">
        <v>1705</v>
      </c>
      <c r="C87" s="3">
        <v>1650</v>
      </c>
      <c r="D87" s="3">
        <v>1600</v>
      </c>
      <c r="E87" s="1728">
        <f t="shared" si="1"/>
        <v>0.96969696969696972</v>
      </c>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row>
    <row r="88" spans="1:39" ht="15.75" customHeight="1" x14ac:dyDescent="0.25">
      <c r="A88" s="3"/>
      <c r="B88" s="1729" t="s">
        <v>1681</v>
      </c>
      <c r="C88" s="1730"/>
      <c r="D88" s="1730"/>
      <c r="E88" s="1731">
        <f>AVERAGE(E83:E87)</f>
        <v>1.0981515348160384</v>
      </c>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row>
    <row r="89" spans="1:39"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row>
    <row r="90" spans="1:39" ht="15.75" customHeight="1" x14ac:dyDescent="0.25">
      <c r="A90" s="3"/>
      <c r="B90" s="1714" t="s">
        <v>313</v>
      </c>
      <c r="C90" s="1714" t="s">
        <v>2</v>
      </c>
      <c r="D90" s="1714" t="s">
        <v>1699</v>
      </c>
      <c r="E90" s="1714" t="s">
        <v>1700</v>
      </c>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row>
    <row r="91" spans="1:39" ht="15.75" customHeight="1" x14ac:dyDescent="0.25">
      <c r="A91" s="3"/>
      <c r="B91" s="3" t="s">
        <v>1706</v>
      </c>
      <c r="C91" s="3">
        <v>9200</v>
      </c>
      <c r="D91" s="3">
        <v>10000</v>
      </c>
      <c r="E91" s="1728">
        <f t="shared" ref="E91:E92" si="2">D91/C91</f>
        <v>1.0869565217391304</v>
      </c>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row>
    <row r="92" spans="1:39" ht="15.75" customHeight="1" x14ac:dyDescent="0.25">
      <c r="A92" s="3"/>
      <c r="B92" s="3" t="s">
        <v>1707</v>
      </c>
      <c r="C92" s="3">
        <v>7910</v>
      </c>
      <c r="D92" s="3">
        <v>8620</v>
      </c>
      <c r="E92" s="1728">
        <f t="shared" si="2"/>
        <v>1.0897597977243996</v>
      </c>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row>
    <row r="93" spans="1:39" ht="15.75" customHeight="1" x14ac:dyDescent="0.25">
      <c r="A93" s="3"/>
      <c r="B93" s="1714" t="s">
        <v>1617</v>
      </c>
      <c r="C93" s="3" t="s">
        <v>1696</v>
      </c>
      <c r="D93" s="3"/>
      <c r="E93" s="1728"/>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row>
    <row r="94" spans="1:39" ht="15.75" customHeight="1" x14ac:dyDescent="0.25">
      <c r="A94" s="3"/>
      <c r="B94" s="1714" t="s">
        <v>1619</v>
      </c>
      <c r="C94" s="3" t="s">
        <v>1708</v>
      </c>
      <c r="D94" s="3"/>
      <c r="E94" s="1728"/>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row>
    <row r="95" spans="1:39" ht="15.75" customHeight="1" x14ac:dyDescent="0.25">
      <c r="A95" s="3"/>
      <c r="B95" s="1714" t="s">
        <v>1621</v>
      </c>
      <c r="C95" s="3" t="s">
        <v>1709</v>
      </c>
      <c r="D95" s="3"/>
      <c r="E95" s="1728"/>
      <c r="F95" s="3"/>
      <c r="G95" s="3"/>
      <c r="H95" s="161" t="s">
        <v>1710</v>
      </c>
      <c r="I95" s="161"/>
      <c r="J95" s="161"/>
      <c r="K95" s="161"/>
      <c r="L95" s="161"/>
      <c r="M95" s="161" t="s">
        <v>1711</v>
      </c>
      <c r="N95" s="161"/>
      <c r="O95" s="161"/>
      <c r="P95" s="161"/>
      <c r="Q95" s="161"/>
      <c r="R95" s="161"/>
      <c r="S95" s="3"/>
      <c r="T95" s="3"/>
      <c r="U95" s="3"/>
      <c r="V95" s="3"/>
      <c r="W95" s="3"/>
      <c r="X95" s="3"/>
      <c r="Y95" s="3"/>
      <c r="Z95" s="3"/>
      <c r="AA95" s="3"/>
      <c r="AB95" s="3"/>
      <c r="AC95" s="3"/>
      <c r="AD95" s="3"/>
      <c r="AE95" s="3"/>
      <c r="AF95" s="3"/>
      <c r="AG95" s="3"/>
      <c r="AH95" s="3"/>
      <c r="AI95" s="3"/>
      <c r="AJ95" s="3"/>
      <c r="AK95" s="3"/>
      <c r="AL95" s="3"/>
      <c r="AM95" s="3"/>
    </row>
    <row r="96" spans="1:39" ht="15.75" customHeight="1" x14ac:dyDescent="0.25">
      <c r="A96" s="3"/>
      <c r="B96" s="1714" t="s">
        <v>313</v>
      </c>
      <c r="C96" s="1714" t="s">
        <v>2</v>
      </c>
      <c r="D96" s="1714" t="s">
        <v>1699</v>
      </c>
      <c r="E96" s="1732" t="s">
        <v>1700</v>
      </c>
      <c r="F96" s="3"/>
      <c r="G96" s="3"/>
      <c r="H96" s="161" t="s">
        <v>1712</v>
      </c>
      <c r="I96" s="161" t="s">
        <v>1713</v>
      </c>
      <c r="J96" s="161" t="s">
        <v>1714</v>
      </c>
      <c r="K96" s="161" t="s">
        <v>1715</v>
      </c>
      <c r="L96" s="161"/>
      <c r="M96" s="161" t="s">
        <v>1712</v>
      </c>
      <c r="N96" s="161" t="s">
        <v>1713</v>
      </c>
      <c r="O96" s="161" t="s">
        <v>1715</v>
      </c>
      <c r="P96" s="161" t="s">
        <v>1716</v>
      </c>
      <c r="Q96" s="161" t="s">
        <v>1717</v>
      </c>
      <c r="R96" s="161" t="s">
        <v>1718</v>
      </c>
      <c r="S96" s="3"/>
      <c r="T96" s="3"/>
      <c r="U96" s="3"/>
      <c r="V96" s="3"/>
      <c r="W96" s="3"/>
      <c r="X96" s="3"/>
      <c r="Y96" s="3"/>
      <c r="Z96" s="3"/>
      <c r="AA96" s="3"/>
      <c r="AB96" s="3"/>
      <c r="AC96" s="3"/>
      <c r="AD96" s="3"/>
      <c r="AE96" s="3"/>
      <c r="AF96" s="3"/>
      <c r="AG96" s="3"/>
      <c r="AH96" s="3"/>
      <c r="AI96" s="3"/>
      <c r="AJ96" s="3"/>
      <c r="AK96" s="3"/>
      <c r="AL96" s="3"/>
      <c r="AM96" s="3"/>
    </row>
    <row r="97" spans="1:39" ht="15.75" customHeight="1" x14ac:dyDescent="0.25">
      <c r="A97" s="3"/>
      <c r="B97" s="3" t="s">
        <v>1719</v>
      </c>
      <c r="C97" s="3">
        <v>1</v>
      </c>
      <c r="D97" s="3">
        <v>3.88</v>
      </c>
      <c r="E97" s="1728">
        <f t="shared" ref="E97:E100" si="3">D97/C97</f>
        <v>3.88</v>
      </c>
      <c r="F97" s="3"/>
      <c r="G97" s="3"/>
      <c r="H97" s="161" t="s">
        <v>1719</v>
      </c>
      <c r="I97" s="161" t="s">
        <v>1720</v>
      </c>
      <c r="J97" s="161">
        <v>0.11600000000000001</v>
      </c>
      <c r="K97" s="161">
        <v>42</v>
      </c>
      <c r="L97" s="161"/>
      <c r="M97" s="161" t="s">
        <v>1721</v>
      </c>
      <c r="N97" s="161" t="s">
        <v>1722</v>
      </c>
      <c r="O97" s="161">
        <v>26</v>
      </c>
      <c r="P97" s="161">
        <v>5</v>
      </c>
      <c r="Q97" s="161">
        <v>1</v>
      </c>
      <c r="R97" s="161">
        <f t="shared" ref="R97:R100" si="4">P97/Q97</f>
        <v>5</v>
      </c>
      <c r="S97" s="3"/>
      <c r="T97" s="3"/>
      <c r="U97" s="3"/>
      <c r="V97" s="3"/>
      <c r="W97" s="3"/>
      <c r="X97" s="3"/>
      <c r="Y97" s="3"/>
      <c r="Z97" s="3"/>
      <c r="AA97" s="3"/>
      <c r="AB97" s="3"/>
      <c r="AC97" s="3"/>
      <c r="AD97" s="3"/>
      <c r="AE97" s="3"/>
      <c r="AF97" s="3"/>
      <c r="AG97" s="3"/>
      <c r="AH97" s="3"/>
      <c r="AI97" s="3"/>
      <c r="AJ97" s="3"/>
      <c r="AK97" s="3"/>
      <c r="AL97" s="3"/>
      <c r="AM97" s="3"/>
    </row>
    <row r="98" spans="1:39" ht="15.75" customHeight="1" x14ac:dyDescent="0.25">
      <c r="A98" s="3"/>
      <c r="B98" s="3" t="s">
        <v>1723</v>
      </c>
      <c r="C98" s="3">
        <v>0.5</v>
      </c>
      <c r="D98" s="3">
        <v>0.501</v>
      </c>
      <c r="E98" s="1728">
        <f t="shared" si="3"/>
        <v>1.002</v>
      </c>
      <c r="F98" s="3"/>
      <c r="G98" s="3"/>
      <c r="H98" s="161" t="s">
        <v>1723</v>
      </c>
      <c r="I98" s="161" t="s">
        <v>1724</v>
      </c>
      <c r="J98" s="161">
        <v>3.3000000000000002E-2</v>
      </c>
      <c r="K98" s="161">
        <v>12</v>
      </c>
      <c r="L98" s="161"/>
      <c r="M98" s="161" t="s">
        <v>1725</v>
      </c>
      <c r="N98" s="161" t="s">
        <v>1726</v>
      </c>
      <c r="O98" s="161">
        <v>10.5</v>
      </c>
      <c r="P98" s="161">
        <v>1</v>
      </c>
      <c r="Q98" s="161" t="s">
        <v>1727</v>
      </c>
      <c r="R98" s="161" t="e">
        <f t="shared" si="4"/>
        <v>#VALUE!</v>
      </c>
      <c r="S98" s="3"/>
      <c r="T98" s="3"/>
      <c r="U98" s="3"/>
      <c r="V98" s="3"/>
      <c r="W98" s="3"/>
      <c r="X98" s="3"/>
      <c r="Y98" s="3"/>
      <c r="Z98" s="3"/>
      <c r="AA98" s="3"/>
      <c r="AB98" s="3"/>
      <c r="AC98" s="3"/>
      <c r="AD98" s="3"/>
      <c r="AE98" s="3"/>
      <c r="AF98" s="3"/>
      <c r="AG98" s="3"/>
      <c r="AH98" s="3"/>
      <c r="AI98" s="3"/>
      <c r="AJ98" s="3"/>
      <c r="AK98" s="3"/>
      <c r="AL98" s="3"/>
      <c r="AM98" s="3"/>
    </row>
    <row r="99" spans="1:39" ht="15.75" customHeight="1" x14ac:dyDescent="0.25">
      <c r="A99" s="3"/>
      <c r="B99" s="3" t="s">
        <v>1728</v>
      </c>
      <c r="C99" s="3">
        <v>0.5</v>
      </c>
      <c r="D99" s="3">
        <v>1.37</v>
      </c>
      <c r="E99" s="1728">
        <f t="shared" si="3"/>
        <v>2.74</v>
      </c>
      <c r="F99" s="3"/>
      <c r="G99" s="3"/>
      <c r="H99" s="161" t="s">
        <v>1728</v>
      </c>
      <c r="I99" s="161" t="s">
        <v>1729</v>
      </c>
      <c r="J99" s="161">
        <v>5.1999999999999998E-2</v>
      </c>
      <c r="K99" s="161">
        <v>19</v>
      </c>
      <c r="L99" s="161"/>
      <c r="M99" s="161" t="s">
        <v>1730</v>
      </c>
      <c r="N99" s="161" t="s">
        <v>1731</v>
      </c>
      <c r="O99" s="161">
        <v>16.399999999999999</v>
      </c>
      <c r="P99" s="161">
        <v>4</v>
      </c>
      <c r="Q99" s="161" t="s">
        <v>1727</v>
      </c>
      <c r="R99" s="161" t="e">
        <f t="shared" si="4"/>
        <v>#VALUE!</v>
      </c>
      <c r="S99" s="3"/>
      <c r="T99" s="3"/>
      <c r="U99" s="3"/>
      <c r="V99" s="3"/>
      <c r="W99" s="3"/>
      <c r="X99" s="3"/>
      <c r="Y99" s="3"/>
      <c r="Z99" s="3"/>
      <c r="AA99" s="3"/>
      <c r="AB99" s="3"/>
      <c r="AC99" s="3"/>
      <c r="AD99" s="3"/>
      <c r="AE99" s="3"/>
      <c r="AF99" s="3"/>
      <c r="AG99" s="3"/>
      <c r="AH99" s="3"/>
      <c r="AI99" s="3"/>
      <c r="AJ99" s="3"/>
      <c r="AK99" s="3"/>
      <c r="AL99" s="3"/>
      <c r="AM99" s="3"/>
    </row>
    <row r="100" spans="1:39" ht="15.75" customHeight="1" x14ac:dyDescent="0.25">
      <c r="A100" s="3"/>
      <c r="B100" s="3" t="s">
        <v>1732</v>
      </c>
      <c r="C100" s="3">
        <v>2</v>
      </c>
      <c r="D100" s="3">
        <v>2.08</v>
      </c>
      <c r="E100" s="1728">
        <f t="shared" si="3"/>
        <v>1.04</v>
      </c>
      <c r="F100" s="3"/>
      <c r="G100" s="3"/>
      <c r="H100" s="161" t="s">
        <v>1732</v>
      </c>
      <c r="I100" s="161" t="s">
        <v>1733</v>
      </c>
      <c r="J100" s="161">
        <v>7.3999999999999996E-2</v>
      </c>
      <c r="K100" s="161">
        <v>27</v>
      </c>
      <c r="L100" s="161"/>
      <c r="M100" s="161" t="s">
        <v>1734</v>
      </c>
      <c r="N100" s="161" t="s">
        <v>1735</v>
      </c>
      <c r="O100" s="161">
        <v>22</v>
      </c>
      <c r="P100" s="161">
        <v>6</v>
      </c>
      <c r="Q100" s="161">
        <v>2</v>
      </c>
      <c r="R100" s="161">
        <f t="shared" si="4"/>
        <v>3</v>
      </c>
      <c r="S100" s="3"/>
      <c r="T100" s="3"/>
      <c r="U100" s="3"/>
      <c r="V100" s="3"/>
      <c r="W100" s="3"/>
      <c r="X100" s="3"/>
      <c r="Y100" s="3"/>
      <c r="Z100" s="3"/>
      <c r="AA100" s="3"/>
      <c r="AB100" s="3"/>
      <c r="AC100" s="3"/>
      <c r="AD100" s="3"/>
      <c r="AE100" s="3"/>
      <c r="AF100" s="3"/>
      <c r="AG100" s="3"/>
      <c r="AH100" s="3"/>
      <c r="AI100" s="3"/>
      <c r="AJ100" s="3"/>
      <c r="AK100" s="3"/>
      <c r="AL100" s="3"/>
      <c r="AM100" s="3"/>
    </row>
    <row r="101" spans="1:39" ht="15.75" customHeight="1" x14ac:dyDescent="0.25">
      <c r="A101" s="3"/>
      <c r="B101" s="1729" t="s">
        <v>1684</v>
      </c>
      <c r="C101" s="1730"/>
      <c r="D101" s="1730"/>
      <c r="E101" s="1731">
        <f>AVERAGE(E91:E100)</f>
        <v>1.8064527199105882</v>
      </c>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row>
    <row r="102" spans="1:39"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row>
    <row r="103" spans="1:39" ht="15.75" customHeight="1" x14ac:dyDescent="0.25">
      <c r="A103" s="3"/>
      <c r="B103" s="1727" t="s">
        <v>1736</v>
      </c>
      <c r="C103" s="1724"/>
      <c r="D103" s="1724"/>
      <c r="E103" s="1724"/>
      <c r="F103" s="1724"/>
      <c r="G103" s="1724"/>
      <c r="H103" s="1724"/>
      <c r="I103" s="1724"/>
      <c r="J103" s="1724"/>
      <c r="K103" s="1724"/>
      <c r="L103" s="1724"/>
      <c r="M103" s="1724"/>
      <c r="N103" s="1724"/>
      <c r="O103" s="1724"/>
      <c r="P103" s="1724"/>
      <c r="Q103" s="1724"/>
      <c r="R103" s="1724"/>
      <c r="S103" s="1724"/>
      <c r="T103" s="1724"/>
      <c r="U103" s="1724"/>
      <c r="V103" s="1724"/>
      <c r="W103" s="1724"/>
      <c r="X103" s="1724"/>
      <c r="Y103" s="1724"/>
      <c r="Z103" s="1724"/>
      <c r="AA103" s="1724"/>
      <c r="AB103" s="1724"/>
      <c r="AC103" s="1724"/>
      <c r="AD103" s="1724"/>
      <c r="AE103" s="1724"/>
      <c r="AF103" s="1724"/>
      <c r="AG103" s="1724"/>
      <c r="AH103" s="1724"/>
      <c r="AI103" s="1724"/>
      <c r="AJ103" s="1724"/>
      <c r="AK103" s="1724"/>
      <c r="AL103" s="1724"/>
      <c r="AM103" s="1725"/>
    </row>
    <row r="104" spans="1:39"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row>
    <row r="105" spans="1:39" ht="15.75" customHeight="1" x14ac:dyDescent="0.25">
      <c r="A105" s="3"/>
      <c r="B105" s="1714" t="str">
        <f t="shared" ref="B105:D120" si="5">B15</f>
        <v>sub_category_1</v>
      </c>
      <c r="C105" s="1714" t="str">
        <f t="shared" si="5"/>
        <v>ghg_category</v>
      </c>
      <c r="D105" s="1714" t="str">
        <f t="shared" si="5"/>
        <v>ghg</v>
      </c>
      <c r="E105" s="1714" t="s">
        <v>1737</v>
      </c>
      <c r="F105" s="1714" t="str">
        <f t="shared" ref="F105:AL105" si="6">F15</f>
        <v>Y1990</v>
      </c>
      <c r="G105" s="1714" t="str">
        <f t="shared" si="6"/>
        <v>Y1991</v>
      </c>
      <c r="H105" s="1714" t="str">
        <f t="shared" si="6"/>
        <v>Y1992</v>
      </c>
      <c r="I105" s="1714" t="str">
        <f t="shared" si="6"/>
        <v>Y1993</v>
      </c>
      <c r="J105" s="1714" t="str">
        <f t="shared" si="6"/>
        <v>Y1994</v>
      </c>
      <c r="K105" s="1714" t="str">
        <f t="shared" si="6"/>
        <v>Y1995</v>
      </c>
      <c r="L105" s="1714" t="str">
        <f t="shared" si="6"/>
        <v>Y1996</v>
      </c>
      <c r="M105" s="1714" t="str">
        <f t="shared" si="6"/>
        <v>Y1997</v>
      </c>
      <c r="N105" s="1714" t="str">
        <f t="shared" si="6"/>
        <v>Y1998</v>
      </c>
      <c r="O105" s="1714" t="str">
        <f t="shared" si="6"/>
        <v>Y1999</v>
      </c>
      <c r="P105" s="1714" t="str">
        <f t="shared" si="6"/>
        <v>Y2000</v>
      </c>
      <c r="Q105" s="1714" t="str">
        <f t="shared" si="6"/>
        <v>Y2001</v>
      </c>
      <c r="R105" s="1714" t="str">
        <f t="shared" si="6"/>
        <v>Y2002</v>
      </c>
      <c r="S105" s="1714" t="str">
        <f t="shared" si="6"/>
        <v>Y2003</v>
      </c>
      <c r="T105" s="1714" t="str">
        <f t="shared" si="6"/>
        <v>Y2004</v>
      </c>
      <c r="U105" s="1714" t="str">
        <f t="shared" si="6"/>
        <v>Y2005</v>
      </c>
      <c r="V105" s="1714" t="str">
        <f t="shared" si="6"/>
        <v>Y2006</v>
      </c>
      <c r="W105" s="1714" t="str">
        <f t="shared" si="6"/>
        <v>Y2007</v>
      </c>
      <c r="X105" s="1714" t="str">
        <f t="shared" si="6"/>
        <v>Y2008</v>
      </c>
      <c r="Y105" s="1714" t="str">
        <f t="shared" si="6"/>
        <v>Y2009</v>
      </c>
      <c r="Z105" s="1714" t="str">
        <f t="shared" si="6"/>
        <v>Y2010</v>
      </c>
      <c r="AA105" s="1714" t="str">
        <f t="shared" si="6"/>
        <v>Y2011</v>
      </c>
      <c r="AB105" s="1714" t="str">
        <f t="shared" si="6"/>
        <v>Y2012</v>
      </c>
      <c r="AC105" s="1714" t="str">
        <f t="shared" si="6"/>
        <v>Y2013</v>
      </c>
      <c r="AD105" s="1714" t="str">
        <f t="shared" si="6"/>
        <v>Y2014</v>
      </c>
      <c r="AE105" s="1714" t="str">
        <f t="shared" si="6"/>
        <v>Y2015</v>
      </c>
      <c r="AF105" s="1714" t="str">
        <f t="shared" si="6"/>
        <v>Y2016</v>
      </c>
      <c r="AG105" s="1714" t="str">
        <f t="shared" si="6"/>
        <v>Y2017</v>
      </c>
      <c r="AH105" s="1714" t="str">
        <f t="shared" si="6"/>
        <v>Y2018</v>
      </c>
      <c r="AI105" s="1714" t="str">
        <f t="shared" si="6"/>
        <v>Y2019</v>
      </c>
      <c r="AJ105" s="1714" t="str">
        <f t="shared" si="6"/>
        <v>Y2020</v>
      </c>
      <c r="AK105" s="1714" t="str">
        <f t="shared" si="6"/>
        <v>Y2021</v>
      </c>
      <c r="AL105" s="1714" t="str">
        <f t="shared" si="6"/>
        <v>Y2022</v>
      </c>
      <c r="AM105" s="1714"/>
    </row>
    <row r="106" spans="1:39" ht="15.75" customHeight="1" x14ac:dyDescent="0.25">
      <c r="A106" s="3"/>
      <c r="B106" s="3" t="str">
        <f t="shared" si="5"/>
        <v>Fire protection</v>
      </c>
      <c r="C106" s="3" t="str">
        <f t="shared" si="5"/>
        <v>CO2</v>
      </c>
      <c r="D106" s="3" t="str">
        <f t="shared" si="5"/>
        <v>Carbon Dioxide</v>
      </c>
      <c r="E106" s="1728">
        <f t="shared" ref="E106:E139" si="7">_xlfn.XLOOKUP(D106,B$73:B$101,E$73:E$101)</f>
        <v>1</v>
      </c>
      <c r="F106" s="1726">
        <f t="shared" ref="F106:AL113" si="8">F16*$E106</f>
        <v>0</v>
      </c>
      <c r="G106" s="1726">
        <f t="shared" si="8"/>
        <v>0</v>
      </c>
      <c r="H106" s="1726">
        <f t="shared" si="8"/>
        <v>0</v>
      </c>
      <c r="I106" s="1726">
        <f t="shared" si="8"/>
        <v>0</v>
      </c>
      <c r="J106" s="1726">
        <f t="shared" si="8"/>
        <v>0</v>
      </c>
      <c r="K106" s="1726">
        <f t="shared" si="8"/>
        <v>0</v>
      </c>
      <c r="L106" s="1726">
        <f t="shared" si="8"/>
        <v>0</v>
      </c>
      <c r="M106" s="1726">
        <f t="shared" si="8"/>
        <v>0</v>
      </c>
      <c r="N106" s="1726">
        <f t="shared" si="8"/>
        <v>9.8519299213394535E-9</v>
      </c>
      <c r="O106" s="1726">
        <f t="shared" si="8"/>
        <v>3.1540939323378811E-8</v>
      </c>
      <c r="P106" s="1726">
        <f t="shared" si="8"/>
        <v>6.2501428747742371E-8</v>
      </c>
      <c r="Q106" s="1726">
        <f t="shared" si="8"/>
        <v>1.018511703728463E-7</v>
      </c>
      <c r="R106" s="1726">
        <f t="shared" si="8"/>
        <v>1.4894636659878889E-7</v>
      </c>
      <c r="S106" s="1726">
        <f t="shared" si="8"/>
        <v>2.0074600781338119E-7</v>
      </c>
      <c r="T106" s="1726">
        <f t="shared" si="8"/>
        <v>2.6107617905303778E-7</v>
      </c>
      <c r="U106" s="1726">
        <f t="shared" si="8"/>
        <v>3.2987329132971848E-7</v>
      </c>
      <c r="V106" s="1726">
        <f t="shared" si="8"/>
        <v>4.0711289923977971E-7</v>
      </c>
      <c r="W106" s="1726">
        <f t="shared" si="8"/>
        <v>4.8314336560554063E-7</v>
      </c>
      <c r="X106" s="1726">
        <f t="shared" si="8"/>
        <v>5.5882771452414812E-7</v>
      </c>
      <c r="Y106" s="1726">
        <f t="shared" si="8"/>
        <v>6.3589657153355418E-7</v>
      </c>
      <c r="Z106" s="1726">
        <f t="shared" si="8"/>
        <v>7.1660050457866461E-7</v>
      </c>
      <c r="AA106" s="1726">
        <f t="shared" si="8"/>
        <v>7.9894555566048068E-7</v>
      </c>
      <c r="AB106" s="1726">
        <f t="shared" si="8"/>
        <v>8.85221012763728E-7</v>
      </c>
      <c r="AC106" s="1726">
        <f t="shared" si="8"/>
        <v>9.7440790019803123E-7</v>
      </c>
      <c r="AD106" s="1726">
        <f t="shared" si="8"/>
        <v>1.0670013135791511E-6</v>
      </c>
      <c r="AE106" s="1726">
        <f t="shared" si="8"/>
        <v>1.1630521332887881E-6</v>
      </c>
      <c r="AF106" s="1726">
        <f t="shared" si="8"/>
        <v>1.261290134713085E-6</v>
      </c>
      <c r="AG106" s="1726">
        <f t="shared" si="8"/>
        <v>1.3659550986162041E-6</v>
      </c>
      <c r="AH106" s="1726">
        <f t="shared" si="8"/>
        <v>1.4755733918879199E-6</v>
      </c>
      <c r="AI106" s="1726">
        <f t="shared" si="8"/>
        <v>1.5902747935584759E-6</v>
      </c>
      <c r="AJ106" s="1726">
        <f t="shared" si="8"/>
        <v>1.668144611637901E-6</v>
      </c>
      <c r="AK106" s="1726">
        <f t="shared" si="8"/>
        <v>1.7298704460152931E-6</v>
      </c>
      <c r="AL106" s="1726">
        <f t="shared" si="8"/>
        <v>1.785639279141623E-6</v>
      </c>
      <c r="AM106" s="1726"/>
    </row>
    <row r="107" spans="1:39" ht="15.75" customHeight="1" x14ac:dyDescent="0.25">
      <c r="A107" s="3"/>
      <c r="B107" s="3" t="str">
        <f t="shared" si="5"/>
        <v>Foam blowing agents</v>
      </c>
      <c r="C107" s="3" t="str">
        <f t="shared" si="5"/>
        <v>CO2</v>
      </c>
      <c r="D107" s="3" t="str">
        <f t="shared" si="5"/>
        <v>Carbon Dioxide</v>
      </c>
      <c r="E107" s="1728">
        <f t="shared" si="7"/>
        <v>1</v>
      </c>
      <c r="F107" s="1726">
        <f t="shared" si="8"/>
        <v>2.6131014791080082E-7</v>
      </c>
      <c r="G107" s="1726">
        <f t="shared" si="8"/>
        <v>4.1898124909234098E-7</v>
      </c>
      <c r="H107" s="1726">
        <f t="shared" si="8"/>
        <v>5.8111866987456702E-7</v>
      </c>
      <c r="I107" s="1726">
        <f t="shared" si="8"/>
        <v>7.4840461171582204E-7</v>
      </c>
      <c r="J107" s="1726">
        <f t="shared" si="8"/>
        <v>9.2201719908830302E-7</v>
      </c>
      <c r="K107" s="1726">
        <f t="shared" si="8"/>
        <v>2.3052706395561522E-6</v>
      </c>
      <c r="L107" s="1726">
        <f t="shared" si="8"/>
        <v>4.4136082214367739E-6</v>
      </c>
      <c r="M107" s="1726">
        <f t="shared" si="8"/>
        <v>6.5946290152229707E-6</v>
      </c>
      <c r="N107" s="1726">
        <f t="shared" si="8"/>
        <v>8.8466612984224004E-6</v>
      </c>
      <c r="O107" s="1726">
        <f t="shared" si="8"/>
        <v>1.147830442458914E-5</v>
      </c>
      <c r="P107" s="1726">
        <f t="shared" si="8"/>
        <v>1.2507147924218111E-5</v>
      </c>
      <c r="Q107" s="1726">
        <f t="shared" si="8"/>
        <v>1.314530607109544E-5</v>
      </c>
      <c r="R107" s="1726">
        <f t="shared" si="8"/>
        <v>1.713973749358667E-5</v>
      </c>
      <c r="S107" s="1726">
        <f t="shared" si="8"/>
        <v>2.1744247344928299E-5</v>
      </c>
      <c r="T107" s="1726">
        <f t="shared" si="8"/>
        <v>2.306901239073155E-5</v>
      </c>
      <c r="U107" s="1726">
        <f t="shared" si="8"/>
        <v>2.4384035920381919E-5</v>
      </c>
      <c r="V107" s="1726">
        <f t="shared" si="8"/>
        <v>2.5685308896897321E-5</v>
      </c>
      <c r="W107" s="1726">
        <f t="shared" si="8"/>
        <v>2.69879996666842E-5</v>
      </c>
      <c r="X107" s="1726">
        <f t="shared" si="8"/>
        <v>2.8364564007057459E-5</v>
      </c>
      <c r="Y107" s="1726">
        <f t="shared" si="8"/>
        <v>3.1166396877940423E-5</v>
      </c>
      <c r="Z107" s="1726">
        <f t="shared" si="8"/>
        <v>3.4618545587236393E-5</v>
      </c>
      <c r="AA107" s="1726">
        <f t="shared" si="8"/>
        <v>3.6918482212532093E-5</v>
      </c>
      <c r="AB107" s="1726">
        <f t="shared" si="8"/>
        <v>3.867669343107176E-5</v>
      </c>
      <c r="AC107" s="1726">
        <f t="shared" si="8"/>
        <v>4.0727676739808633E-5</v>
      </c>
      <c r="AD107" s="1726">
        <f t="shared" si="8"/>
        <v>4.3031867101066257E-5</v>
      </c>
      <c r="AE107" s="1726">
        <f t="shared" si="8"/>
        <v>4.5313001867797073E-5</v>
      </c>
      <c r="AF107" s="1726">
        <f t="shared" si="8"/>
        <v>4.8376348474465388E-5</v>
      </c>
      <c r="AG107" s="1726">
        <f t="shared" si="8"/>
        <v>5.1409482806971542E-5</v>
      </c>
      <c r="AH107" s="1726">
        <f t="shared" si="8"/>
        <v>5.50670128350142E-5</v>
      </c>
      <c r="AI107" s="1726">
        <f t="shared" si="8"/>
        <v>5.8640584864915532E-5</v>
      </c>
      <c r="AJ107" s="1726">
        <f t="shared" si="8"/>
        <v>6.3052900975069188E-5</v>
      </c>
      <c r="AK107" s="1726">
        <f t="shared" si="8"/>
        <v>6.6892769382864136E-5</v>
      </c>
      <c r="AL107" s="1726">
        <f t="shared" si="8"/>
        <v>7.0764145343318397E-5</v>
      </c>
      <c r="AM107" s="1726"/>
    </row>
    <row r="108" spans="1:39" ht="15.75" customHeight="1" x14ac:dyDescent="0.25">
      <c r="A108" s="3"/>
      <c r="B108" s="3" t="str">
        <f t="shared" si="5"/>
        <v>Refrigeration and air-conditioning</v>
      </c>
      <c r="C108" s="3" t="str">
        <f t="shared" si="5"/>
        <v>CO2</v>
      </c>
      <c r="D108" s="3" t="str">
        <f t="shared" si="5"/>
        <v>Carbon Dioxide</v>
      </c>
      <c r="E108" s="1728">
        <f t="shared" si="7"/>
        <v>1</v>
      </c>
      <c r="F108" s="1726">
        <f t="shared" si="8"/>
        <v>0</v>
      </c>
      <c r="G108" s="1726">
        <f t="shared" si="8"/>
        <v>0</v>
      </c>
      <c r="H108" s="1726">
        <f t="shared" si="8"/>
        <v>0</v>
      </c>
      <c r="I108" s="1726">
        <f t="shared" si="8"/>
        <v>0</v>
      </c>
      <c r="J108" s="1726">
        <f t="shared" si="8"/>
        <v>0</v>
      </c>
      <c r="K108" s="1726">
        <f t="shared" si="8"/>
        <v>0</v>
      </c>
      <c r="L108" s="1726">
        <f t="shared" si="8"/>
        <v>0</v>
      </c>
      <c r="M108" s="1726">
        <f t="shared" si="8"/>
        <v>0</v>
      </c>
      <c r="N108" s="1726">
        <f t="shared" si="8"/>
        <v>0</v>
      </c>
      <c r="O108" s="1726">
        <f t="shared" si="8"/>
        <v>0</v>
      </c>
      <c r="P108" s="1726">
        <f t="shared" si="8"/>
        <v>0</v>
      </c>
      <c r="Q108" s="1726">
        <f t="shared" si="8"/>
        <v>0</v>
      </c>
      <c r="R108" s="1726">
        <f t="shared" si="8"/>
        <v>0</v>
      </c>
      <c r="S108" s="1726">
        <f t="shared" si="8"/>
        <v>0</v>
      </c>
      <c r="T108" s="1726">
        <f t="shared" si="8"/>
        <v>0</v>
      </c>
      <c r="U108" s="1726">
        <f t="shared" si="8"/>
        <v>0</v>
      </c>
      <c r="V108" s="1726">
        <f t="shared" si="8"/>
        <v>0</v>
      </c>
      <c r="W108" s="1726">
        <f t="shared" si="8"/>
        <v>0</v>
      </c>
      <c r="X108" s="1726">
        <f t="shared" si="8"/>
        <v>0</v>
      </c>
      <c r="Y108" s="1726">
        <f t="shared" si="8"/>
        <v>0</v>
      </c>
      <c r="Z108" s="1726">
        <f t="shared" si="8"/>
        <v>0</v>
      </c>
      <c r="AA108" s="1726">
        <f t="shared" si="8"/>
        <v>0</v>
      </c>
      <c r="AB108" s="1726">
        <f t="shared" si="8"/>
        <v>3.70462863680154E-10</v>
      </c>
      <c r="AC108" s="1726">
        <f t="shared" si="8"/>
        <v>1.1108583319757149E-9</v>
      </c>
      <c r="AD108" s="1726">
        <f t="shared" si="8"/>
        <v>1.2944556663871841E-9</v>
      </c>
      <c r="AE108" s="1726">
        <f t="shared" si="8"/>
        <v>2.3984260362871581E-9</v>
      </c>
      <c r="AF108" s="1726">
        <f t="shared" si="8"/>
        <v>2.940498638410223E-9</v>
      </c>
      <c r="AG108" s="1726">
        <f t="shared" si="8"/>
        <v>6.4163774596117491E-9</v>
      </c>
      <c r="AH108" s="1726">
        <f t="shared" si="8"/>
        <v>1.353233746433338E-8</v>
      </c>
      <c r="AI108" s="1726">
        <f t="shared" si="8"/>
        <v>2.4263685619281551E-8</v>
      </c>
      <c r="AJ108" s="1726">
        <f t="shared" si="8"/>
        <v>3.9230959730470671E-8</v>
      </c>
      <c r="AK108" s="1726">
        <f t="shared" si="8"/>
        <v>5.8312306612808159E-8</v>
      </c>
      <c r="AL108" s="1726">
        <f t="shared" si="8"/>
        <v>8.8385301478315641E-8</v>
      </c>
      <c r="AM108" s="1726"/>
    </row>
    <row r="109" spans="1:39" ht="15.75" customHeight="1" x14ac:dyDescent="0.25">
      <c r="A109" s="3"/>
      <c r="B109" s="3" t="str">
        <f t="shared" si="5"/>
        <v>Fire protection</v>
      </c>
      <c r="C109" s="3" t="str">
        <f t="shared" si="5"/>
        <v>HFC</v>
      </c>
      <c r="D109" s="3" t="str">
        <f t="shared" si="5"/>
        <v>HFC-125</v>
      </c>
      <c r="E109" s="1728">
        <f t="shared" si="7"/>
        <v>1.1798107255520505</v>
      </c>
      <c r="F109" s="1726">
        <f t="shared" si="8"/>
        <v>0</v>
      </c>
      <c r="G109" s="1726">
        <f t="shared" si="8"/>
        <v>0</v>
      </c>
      <c r="H109" s="1726">
        <f t="shared" si="8"/>
        <v>0</v>
      </c>
      <c r="I109" s="1726">
        <f t="shared" si="8"/>
        <v>0</v>
      </c>
      <c r="J109" s="1726">
        <f t="shared" si="8"/>
        <v>0</v>
      </c>
      <c r="K109" s="1726">
        <f t="shared" si="8"/>
        <v>0</v>
      </c>
      <c r="L109" s="1726">
        <f t="shared" si="8"/>
        <v>0</v>
      </c>
      <c r="M109" s="1726">
        <f t="shared" si="8"/>
        <v>3.1946475215990909E-5</v>
      </c>
      <c r="N109" s="1726">
        <f t="shared" si="8"/>
        <v>1.0256277632816709E-4</v>
      </c>
      <c r="O109" s="1726">
        <f t="shared" si="8"/>
        <v>2.1980350749576158E-4</v>
      </c>
      <c r="P109" s="1726">
        <f t="shared" si="8"/>
        <v>3.689686700700279E-4</v>
      </c>
      <c r="Q109" s="1726">
        <f t="shared" si="8"/>
        <v>6.1330304098628375E-4</v>
      </c>
      <c r="R109" s="1726">
        <f t="shared" si="8"/>
        <v>9.4595753497824149E-4</v>
      </c>
      <c r="S109" s="1726">
        <f t="shared" si="8"/>
        <v>1.2782788799378239E-3</v>
      </c>
      <c r="T109" s="1726">
        <f t="shared" si="8"/>
        <v>1.6446397897477325E-3</v>
      </c>
      <c r="U109" s="1726">
        <f t="shared" si="8"/>
        <v>2.0443412015534318E-3</v>
      </c>
      <c r="V109" s="1726">
        <f t="shared" si="8"/>
        <v>2.4719816496919138E-3</v>
      </c>
      <c r="W109" s="1726">
        <f t="shared" si="8"/>
        <v>2.8927142775995217E-3</v>
      </c>
      <c r="X109" s="1726">
        <f t="shared" si="8"/>
        <v>3.3066961149637798E-3</v>
      </c>
      <c r="Y109" s="1726">
        <f t="shared" si="8"/>
        <v>3.0234678387744871E-3</v>
      </c>
      <c r="Z109" s="1726">
        <f t="shared" si="8"/>
        <v>3.2472877167047721E-3</v>
      </c>
      <c r="AA109" s="1726">
        <f t="shared" si="8"/>
        <v>3.8094184019628855E-3</v>
      </c>
      <c r="AB109" s="1726">
        <f t="shared" si="8"/>
        <v>4.5121827611430592E-3</v>
      </c>
      <c r="AC109" s="1726">
        <f t="shared" si="8"/>
        <v>5.0381896362217985E-3</v>
      </c>
      <c r="AD109" s="1726">
        <f t="shared" si="8"/>
        <v>6.3127759146439462E-3</v>
      </c>
      <c r="AE109" s="1726">
        <f t="shared" si="8"/>
        <v>6.1830728068949983E-3</v>
      </c>
      <c r="AF109" s="1726">
        <f t="shared" si="8"/>
        <v>7.2826676975026637E-3</v>
      </c>
      <c r="AG109" s="1726">
        <f t="shared" si="8"/>
        <v>6.5296994317880349E-3</v>
      </c>
      <c r="AH109" s="1726">
        <f t="shared" si="8"/>
        <v>7.6412923002471657E-3</v>
      </c>
      <c r="AI109" s="1726">
        <f t="shared" si="8"/>
        <v>7.2208612126688264E-3</v>
      </c>
      <c r="AJ109" s="1726">
        <f t="shared" si="8"/>
        <v>8.2554155661532357E-3</v>
      </c>
      <c r="AK109" s="1726">
        <f t="shared" si="8"/>
        <v>8.5682922965910398E-3</v>
      </c>
      <c r="AL109" s="1726">
        <f t="shared" si="8"/>
        <v>8.8775184477080122E-3</v>
      </c>
      <c r="AM109" s="1726"/>
    </row>
    <row r="110" spans="1:39" ht="15.75" customHeight="1" x14ac:dyDescent="0.25">
      <c r="A110" s="3"/>
      <c r="B110" s="3" t="str">
        <f t="shared" si="5"/>
        <v>Refrigeration and air-conditioning</v>
      </c>
      <c r="C110" s="3" t="str">
        <f t="shared" si="5"/>
        <v>HFC</v>
      </c>
      <c r="D110" s="3" t="str">
        <f t="shared" si="5"/>
        <v>HFC-125</v>
      </c>
      <c r="E110" s="1728">
        <f t="shared" si="7"/>
        <v>1.1798107255520505</v>
      </c>
      <c r="F110" s="1726">
        <f t="shared" si="8"/>
        <v>2.4576398438319589E-6</v>
      </c>
      <c r="G110" s="1726">
        <f t="shared" si="8"/>
        <v>6.0536431158403157E-6</v>
      </c>
      <c r="H110" s="1726">
        <f t="shared" si="8"/>
        <v>1.1606811852281037E-5</v>
      </c>
      <c r="I110" s="1726">
        <f t="shared" si="8"/>
        <v>2.1617437682942917E-3</v>
      </c>
      <c r="J110" s="1726">
        <f t="shared" si="8"/>
        <v>5.7490643797077764E-3</v>
      </c>
      <c r="K110" s="1726">
        <f t="shared" si="8"/>
        <v>1.2184976515315473E-2</v>
      </c>
      <c r="L110" s="1726">
        <f t="shared" si="8"/>
        <v>2.0740879790053592E-2</v>
      </c>
      <c r="M110" s="1726">
        <f t="shared" si="8"/>
        <v>3.2014457315250537E-2</v>
      </c>
      <c r="N110" s="1726">
        <f t="shared" si="8"/>
        <v>4.1861990735237067E-2</v>
      </c>
      <c r="O110" s="1726">
        <f t="shared" si="8"/>
        <v>5.4787804523189224E-2</v>
      </c>
      <c r="P110" s="1726">
        <f t="shared" si="8"/>
        <v>6.5479250801520353E-2</v>
      </c>
      <c r="Q110" s="1726">
        <f t="shared" si="8"/>
        <v>7.9670894655079857E-2</v>
      </c>
      <c r="R110" s="1726">
        <f t="shared" si="8"/>
        <v>9.6705532779341324E-2</v>
      </c>
      <c r="S110" s="1726">
        <f t="shared" si="8"/>
        <v>0.11542430003295015</v>
      </c>
      <c r="T110" s="1726">
        <f t="shared" si="8"/>
        <v>0.13470181776690462</v>
      </c>
      <c r="U110" s="1726">
        <f t="shared" si="8"/>
        <v>0.16934307250523503</v>
      </c>
      <c r="V110" s="1726">
        <f t="shared" si="8"/>
        <v>0.21350795683054402</v>
      </c>
      <c r="W110" s="1726">
        <f t="shared" si="8"/>
        <v>0.27051794842263538</v>
      </c>
      <c r="X110" s="1726">
        <f t="shared" si="8"/>
        <v>0.33164669379912121</v>
      </c>
      <c r="Y110" s="1726">
        <f t="shared" si="8"/>
        <v>0.32567146380175138</v>
      </c>
      <c r="Z110" s="1726">
        <f t="shared" si="8"/>
        <v>0.37677464741556727</v>
      </c>
      <c r="AA110" s="1726">
        <f t="shared" si="8"/>
        <v>0.46506681346363399</v>
      </c>
      <c r="AB110" s="1726">
        <f t="shared" si="8"/>
        <v>0.56725215748617275</v>
      </c>
      <c r="AC110" s="1726">
        <f t="shared" si="8"/>
        <v>0.6498209991017293</v>
      </c>
      <c r="AD110" s="1726">
        <f t="shared" si="8"/>
        <v>0.83019459651631533</v>
      </c>
      <c r="AE110" s="1726">
        <f t="shared" si="8"/>
        <v>0.82291558563957479</v>
      </c>
      <c r="AF110" s="1726">
        <f t="shared" si="8"/>
        <v>0.98312321346849263</v>
      </c>
      <c r="AG110" s="1726">
        <f t="shared" si="8"/>
        <v>0.8866544398575833</v>
      </c>
      <c r="AH110" s="1726">
        <f t="shared" si="8"/>
        <v>1.0506353564364066</v>
      </c>
      <c r="AI110" s="1726">
        <f t="shared" si="8"/>
        <v>1.0230481503270705</v>
      </c>
      <c r="AJ110" s="1726">
        <f t="shared" si="8"/>
        <v>1.2291436637554276</v>
      </c>
      <c r="AK110" s="1726">
        <f t="shared" si="8"/>
        <v>1.4133724253832689</v>
      </c>
      <c r="AL110" s="1726">
        <f t="shared" si="8"/>
        <v>1.5369948658044745</v>
      </c>
      <c r="AM110" s="1726"/>
    </row>
    <row r="111" spans="1:39" ht="15.75" customHeight="1" x14ac:dyDescent="0.25">
      <c r="A111" s="3"/>
      <c r="B111" s="3" t="str">
        <f t="shared" si="5"/>
        <v>Foam blowing agents</v>
      </c>
      <c r="C111" s="3" t="str">
        <f t="shared" si="5"/>
        <v>HFC</v>
      </c>
      <c r="D111" s="3" t="str">
        <f t="shared" si="5"/>
        <v>HFC-134a</v>
      </c>
      <c r="E111" s="1728">
        <f t="shared" si="7"/>
        <v>1.176923076923077</v>
      </c>
      <c r="F111" s="1726">
        <f t="shared" si="8"/>
        <v>0</v>
      </c>
      <c r="G111" s="1726">
        <f t="shared" si="8"/>
        <v>0</v>
      </c>
      <c r="H111" s="1726">
        <f t="shared" si="8"/>
        <v>0</v>
      </c>
      <c r="I111" s="1726">
        <f t="shared" si="8"/>
        <v>0</v>
      </c>
      <c r="J111" s="1726">
        <f t="shared" si="8"/>
        <v>0</v>
      </c>
      <c r="K111" s="1726">
        <f t="shared" si="8"/>
        <v>0</v>
      </c>
      <c r="L111" s="1726">
        <f t="shared" si="8"/>
        <v>5.5413083579094037E-4</v>
      </c>
      <c r="M111" s="1726">
        <f t="shared" si="8"/>
        <v>1.1463061570884396E-3</v>
      </c>
      <c r="N111" s="1726">
        <f t="shared" si="8"/>
        <v>1.7856720966977861E-3</v>
      </c>
      <c r="O111" s="1726">
        <f t="shared" si="8"/>
        <v>2.4586457562872912E-3</v>
      </c>
      <c r="P111" s="1726">
        <f t="shared" si="8"/>
        <v>2.6595206133257373E-3</v>
      </c>
      <c r="Q111" s="1726">
        <f t="shared" si="8"/>
        <v>2.8833806575471912E-3</v>
      </c>
      <c r="R111" s="1726">
        <f t="shared" si="8"/>
        <v>1.1383121145561432E-2</v>
      </c>
      <c r="S111" s="1726">
        <f t="shared" si="8"/>
        <v>2.1169450698678951E-2</v>
      </c>
      <c r="T111" s="1726">
        <f t="shared" si="8"/>
        <v>2.3594539016459543E-2</v>
      </c>
      <c r="U111" s="1726">
        <f t="shared" si="8"/>
        <v>2.6123064583799201E-2</v>
      </c>
      <c r="V111" s="1726">
        <f t="shared" si="8"/>
        <v>2.868406791079426E-2</v>
      </c>
      <c r="W111" s="1726">
        <f t="shared" si="8"/>
        <v>3.1332706697841356E-2</v>
      </c>
      <c r="X111" s="1726">
        <f t="shared" si="8"/>
        <v>3.3929620508746872E-2</v>
      </c>
      <c r="Y111" s="1726">
        <f t="shared" si="8"/>
        <v>5.8632859087559601E-2</v>
      </c>
      <c r="Z111" s="1726">
        <f t="shared" si="8"/>
        <v>7.5932793843495647E-2</v>
      </c>
      <c r="AA111" s="1726">
        <f t="shared" si="8"/>
        <v>8.2295308440702791E-2</v>
      </c>
      <c r="AB111" s="1726">
        <f t="shared" si="8"/>
        <v>8.8848648400616528E-2</v>
      </c>
      <c r="AC111" s="1726">
        <f t="shared" si="8"/>
        <v>0.12111814047733678</v>
      </c>
      <c r="AD111" s="1726">
        <f t="shared" si="8"/>
        <v>0.14807868128829121</v>
      </c>
      <c r="AE111" s="1726">
        <f t="shared" si="8"/>
        <v>0.14880304640774927</v>
      </c>
      <c r="AF111" s="1726">
        <f t="shared" si="8"/>
        <v>0.14405920408081418</v>
      </c>
      <c r="AG111" s="1726">
        <f t="shared" si="8"/>
        <v>0.12572341854477573</v>
      </c>
      <c r="AH111" s="1726">
        <f t="shared" si="8"/>
        <v>0.14144205184399314</v>
      </c>
      <c r="AI111" s="1726">
        <f t="shared" si="8"/>
        <v>0.13802719045858713</v>
      </c>
      <c r="AJ111" s="1726">
        <f t="shared" si="8"/>
        <v>0.15151520143622044</v>
      </c>
      <c r="AK111" s="1726">
        <f t="shared" si="8"/>
        <v>8.0621003838466834E-2</v>
      </c>
      <c r="AL111" s="1726">
        <f t="shared" si="8"/>
        <v>8.6085049930413271E-2</v>
      </c>
      <c r="AM111" s="1726"/>
    </row>
    <row r="112" spans="1:39" ht="15.75" customHeight="1" x14ac:dyDescent="0.25">
      <c r="A112" s="3"/>
      <c r="B112" s="3" t="str">
        <f t="shared" si="5"/>
        <v>Metered does inhalers</v>
      </c>
      <c r="C112" s="3" t="str">
        <f t="shared" si="5"/>
        <v>HFC</v>
      </c>
      <c r="D112" s="3" t="str">
        <f t="shared" si="5"/>
        <v>HFC-134a</v>
      </c>
      <c r="E112" s="1728">
        <f t="shared" si="7"/>
        <v>1.176923076923077</v>
      </c>
      <c r="F112" s="1726">
        <f t="shared" si="8"/>
        <v>0</v>
      </c>
      <c r="G112" s="1726">
        <f t="shared" si="8"/>
        <v>0</v>
      </c>
      <c r="H112" s="1726">
        <f t="shared" si="8"/>
        <v>0</v>
      </c>
      <c r="I112" s="1726">
        <f t="shared" si="8"/>
        <v>0</v>
      </c>
      <c r="J112" s="1726">
        <f t="shared" si="8"/>
        <v>0</v>
      </c>
      <c r="K112" s="1726">
        <f t="shared" si="8"/>
        <v>0</v>
      </c>
      <c r="L112" s="1726">
        <f t="shared" si="8"/>
        <v>0</v>
      </c>
      <c r="M112" s="1726">
        <f t="shared" si="8"/>
        <v>3.7939036037830295E-4</v>
      </c>
      <c r="N112" s="1726">
        <f t="shared" si="8"/>
        <v>7.6818525378716414E-4</v>
      </c>
      <c r="O112" s="1726">
        <f t="shared" si="8"/>
        <v>1.1657179727994503E-3</v>
      </c>
      <c r="P112" s="1726">
        <f t="shared" si="8"/>
        <v>1.6142289629450435E-3</v>
      </c>
      <c r="Q112" s="1726">
        <f t="shared" si="8"/>
        <v>3.6916787697975021E-3</v>
      </c>
      <c r="R112" s="1726">
        <f t="shared" si="8"/>
        <v>5.8348546621775797E-3</v>
      </c>
      <c r="S112" s="1726">
        <f t="shared" si="8"/>
        <v>8.03130355318501E-3</v>
      </c>
      <c r="T112" s="1726">
        <f t="shared" si="8"/>
        <v>1.0296011981757487E-2</v>
      </c>
      <c r="U112" s="1726">
        <f t="shared" si="8"/>
        <v>1.2626404141386645E-2</v>
      </c>
      <c r="V112" s="1726">
        <f t="shared" si="8"/>
        <v>1.4994885263995329E-2</v>
      </c>
      <c r="W112" s="1726">
        <f t="shared" si="8"/>
        <v>1.7386181158705091E-2</v>
      </c>
      <c r="X112" s="1726">
        <f t="shared" si="8"/>
        <v>1.9365760686055535E-2</v>
      </c>
      <c r="Y112" s="1726">
        <f t="shared" si="8"/>
        <v>2.1026160489749233E-2</v>
      </c>
      <c r="Z112" s="1726">
        <f t="shared" si="8"/>
        <v>2.0054753069219337E-2</v>
      </c>
      <c r="AA112" s="1726">
        <f t="shared" si="8"/>
        <v>2.1853456597257698E-2</v>
      </c>
      <c r="AB112" s="1726">
        <f t="shared" si="8"/>
        <v>2.0501595810925019E-2</v>
      </c>
      <c r="AC112" s="1726">
        <f t="shared" si="8"/>
        <v>2.4035971371955862E-2</v>
      </c>
      <c r="AD112" s="1726">
        <f t="shared" si="8"/>
        <v>2.5064126442639573E-2</v>
      </c>
      <c r="AE112" s="1726">
        <f t="shared" si="8"/>
        <v>2.1169957981648575E-2</v>
      </c>
      <c r="AF112" s="1726">
        <f t="shared" si="8"/>
        <v>2.4705781188753502E-2</v>
      </c>
      <c r="AG112" s="1726">
        <f t="shared" si="8"/>
        <v>2.6091015144450155E-2</v>
      </c>
      <c r="AH112" s="1726">
        <f t="shared" si="8"/>
        <v>3.3694504212722486E-2</v>
      </c>
      <c r="AI112" s="1726">
        <f t="shared" si="8"/>
        <v>3.3185100647580561E-2</v>
      </c>
      <c r="AJ112" s="1726">
        <f t="shared" si="8"/>
        <v>3.7574578334229308E-2</v>
      </c>
      <c r="AK112" s="1726">
        <f t="shared" si="8"/>
        <v>3.8179502919196036E-2</v>
      </c>
      <c r="AL112" s="1726">
        <f t="shared" si="8"/>
        <v>2.3250553548915028E-2</v>
      </c>
      <c r="AM112" s="1726"/>
    </row>
    <row r="113" spans="1:39" ht="15.75" customHeight="1" x14ac:dyDescent="0.25">
      <c r="A113" s="3"/>
      <c r="B113" s="3" t="str">
        <f t="shared" si="5"/>
        <v>Other Aerosols</v>
      </c>
      <c r="C113" s="3" t="str">
        <f t="shared" si="5"/>
        <v>HFC</v>
      </c>
      <c r="D113" s="3" t="str">
        <f t="shared" si="5"/>
        <v>HFC-134a</v>
      </c>
      <c r="E113" s="1728">
        <f t="shared" si="7"/>
        <v>1.176923076923077</v>
      </c>
      <c r="F113" s="1726">
        <f t="shared" si="8"/>
        <v>0</v>
      </c>
      <c r="G113" s="1726">
        <f t="shared" si="8"/>
        <v>0</v>
      </c>
      <c r="H113" s="1726">
        <f t="shared" si="8"/>
        <v>0</v>
      </c>
      <c r="I113" s="1726">
        <f t="shared" si="8"/>
        <v>0</v>
      </c>
      <c r="J113" s="1726">
        <f t="shared" si="8"/>
        <v>1.4392277641115362E-2</v>
      </c>
      <c r="K113" s="1726">
        <f t="shared" si="8"/>
        <v>0.15532565849276692</v>
      </c>
      <c r="L113" s="1726">
        <f t="shared" si="8"/>
        <v>0.17915889959888123</v>
      </c>
      <c r="M113" s="1726">
        <f t="shared" si="8"/>
        <v>0.19316540637696528</v>
      </c>
      <c r="N113" s="1726">
        <f t="shared" si="8"/>
        <v>0.19302868042297985</v>
      </c>
      <c r="O113" s="1726">
        <f t="shared" si="8"/>
        <v>0.19906500377413058</v>
      </c>
      <c r="P113" s="1726">
        <f t="shared" si="8"/>
        <v>0.20217135137391629</v>
      </c>
      <c r="Q113" s="1726">
        <f t="shared" si="8"/>
        <v>0.19213656787701691</v>
      </c>
      <c r="R113" s="1726">
        <f t="shared" si="8"/>
        <v>0.18047922066590463</v>
      </c>
      <c r="S113" s="1726">
        <f t="shared" si="8"/>
        <v>0.16830407734801775</v>
      </c>
      <c r="T113" s="1726">
        <f t="shared" si="8"/>
        <v>0.15452631536444547</v>
      </c>
      <c r="U113" s="1726">
        <f t="shared" si="8"/>
        <v>0.14029628361986682</v>
      </c>
      <c r="V113" s="1726">
        <f t="shared" si="8"/>
        <v>0.15158670091208537</v>
      </c>
      <c r="W113" s="1726">
        <f t="shared" si="8"/>
        <v>0.16404220354761878</v>
      </c>
      <c r="X113" s="1726">
        <f t="shared" si="8"/>
        <v>0.17524568368641044</v>
      </c>
      <c r="Y113" s="1726">
        <f t="shared" si="8"/>
        <v>0.19448558037881478</v>
      </c>
      <c r="Z113" s="1726">
        <f t="shared" si="8"/>
        <v>0.18974199745809506</v>
      </c>
      <c r="AA113" s="1726">
        <f t="shared" si="8"/>
        <v>0.20293791367416175</v>
      </c>
      <c r="AB113" s="1726">
        <f t="shared" si="8"/>
        <v>0.21486612602467289</v>
      </c>
      <c r="AC113" s="1726">
        <f t="shared" si="8"/>
        <v>0.28523314183452703</v>
      </c>
      <c r="AD113" s="1726">
        <f t="shared" ref="AD113:AL113" si="9">AD23*$E113</f>
        <v>0.33811556758831701</v>
      </c>
      <c r="AE113" s="1726">
        <f t="shared" si="9"/>
        <v>0.32963722721891409</v>
      </c>
      <c r="AF113" s="1726">
        <f t="shared" si="9"/>
        <v>0.27805089190582316</v>
      </c>
      <c r="AG113" s="1726">
        <f t="shared" si="9"/>
        <v>0.21810526253959236</v>
      </c>
      <c r="AH113" s="1726">
        <f t="shared" si="9"/>
        <v>0.2108220696276798</v>
      </c>
      <c r="AI113" s="1726">
        <f t="shared" si="9"/>
        <v>0.20894778493336813</v>
      </c>
      <c r="AJ113" s="1726">
        <f t="shared" si="9"/>
        <v>0.23808142435939184</v>
      </c>
      <c r="AK113" s="1726">
        <f t="shared" si="9"/>
        <v>0.24344458357402818</v>
      </c>
      <c r="AL113" s="1726">
        <f t="shared" si="9"/>
        <v>0.24861246121430072</v>
      </c>
      <c r="AM113" s="1726"/>
    </row>
    <row r="114" spans="1:39" ht="15.75" customHeight="1" x14ac:dyDescent="0.25">
      <c r="A114" s="3"/>
      <c r="B114" s="3" t="str">
        <f t="shared" si="5"/>
        <v>Refrigeration and air-conditioning</v>
      </c>
      <c r="C114" s="3" t="str">
        <f t="shared" si="5"/>
        <v>HFC</v>
      </c>
      <c r="D114" s="3" t="str">
        <f t="shared" si="5"/>
        <v>HFC-134a</v>
      </c>
      <c r="E114" s="1728">
        <f t="shared" si="7"/>
        <v>1.176923076923077</v>
      </c>
      <c r="F114" s="1726">
        <f t="shared" ref="F114:AL121" si="10">F24*$E114</f>
        <v>8.6202583729934789E-8</v>
      </c>
      <c r="G114" s="1726">
        <f t="shared" si="10"/>
        <v>2.1233366592507473E-7</v>
      </c>
      <c r="H114" s="1726">
        <f t="shared" si="10"/>
        <v>2.0367205085037522E-2</v>
      </c>
      <c r="I114" s="1726">
        <f t="shared" si="10"/>
        <v>8.8181790900263457E-2</v>
      </c>
      <c r="J114" s="1726">
        <f t="shared" si="10"/>
        <v>0.21436911971480538</v>
      </c>
      <c r="K114" s="1726">
        <f t="shared" si="10"/>
        <v>0.3394997679168319</v>
      </c>
      <c r="L114" s="1726">
        <f t="shared" si="10"/>
        <v>0.49204988800476218</v>
      </c>
      <c r="M114" s="1726">
        <f t="shared" si="10"/>
        <v>0.65106029740601701</v>
      </c>
      <c r="N114" s="1726">
        <f t="shared" si="10"/>
        <v>0.76405529843479858</v>
      </c>
      <c r="O114" s="1726">
        <f t="shared" si="10"/>
        <v>0.87820213530029922</v>
      </c>
      <c r="P114" s="1726">
        <f t="shared" si="10"/>
        <v>0.98682787364386038</v>
      </c>
      <c r="Q114" s="1726">
        <f t="shared" si="10"/>
        <v>1.0958117564988985</v>
      </c>
      <c r="R114" s="1726">
        <f t="shared" si="10"/>
        <v>1.1475923262544248</v>
      </c>
      <c r="S114" s="1726">
        <f t="shared" si="10"/>
        <v>1.1857539332921667</v>
      </c>
      <c r="T114" s="1726">
        <f t="shared" si="10"/>
        <v>1.2283436353150234</v>
      </c>
      <c r="U114" s="1726">
        <f t="shared" si="10"/>
        <v>1.2567529893196552</v>
      </c>
      <c r="V114" s="1726">
        <f t="shared" si="10"/>
        <v>1.281985385227044</v>
      </c>
      <c r="W114" s="1726">
        <f t="shared" si="10"/>
        <v>1.3014139289830522</v>
      </c>
      <c r="X114" s="1726">
        <f t="shared" si="10"/>
        <v>1.3279400901108758</v>
      </c>
      <c r="Y114" s="1726">
        <f t="shared" si="10"/>
        <v>1.3052967957333248</v>
      </c>
      <c r="Z114" s="1726">
        <f t="shared" si="10"/>
        <v>1.0921574174323545</v>
      </c>
      <c r="AA114" s="1726">
        <f t="shared" si="10"/>
        <v>1.0092036858033848</v>
      </c>
      <c r="AB114" s="1726">
        <f t="shared" si="10"/>
        <v>0.93219382101798121</v>
      </c>
      <c r="AC114" s="1726">
        <f t="shared" si="10"/>
        <v>1.0705183524784045</v>
      </c>
      <c r="AD114" s="1726">
        <f t="shared" si="10"/>
        <v>1.1529505979471093</v>
      </c>
      <c r="AE114" s="1726">
        <f t="shared" si="10"/>
        <v>1.029395761505185</v>
      </c>
      <c r="AF114" s="1726">
        <f t="shared" si="10"/>
        <v>0.90630826307732093</v>
      </c>
      <c r="AG114" s="1726">
        <f t="shared" si="10"/>
        <v>0.74133225938971381</v>
      </c>
      <c r="AH114" s="1726">
        <f t="shared" si="10"/>
        <v>0.78925069301974504</v>
      </c>
      <c r="AI114" s="1726">
        <f t="shared" si="10"/>
        <v>0.73911814735464931</v>
      </c>
      <c r="AJ114" s="1726">
        <f t="shared" si="10"/>
        <v>0.79469839906395301</v>
      </c>
      <c r="AK114" s="1726">
        <f t="shared" si="10"/>
        <v>0.77010381503740766</v>
      </c>
      <c r="AL114" s="1726">
        <f t="shared" si="10"/>
        <v>0.73800505065024258</v>
      </c>
      <c r="AM114" s="1726"/>
    </row>
    <row r="115" spans="1:39" ht="15.75" customHeight="1" x14ac:dyDescent="0.25">
      <c r="A115" s="3"/>
      <c r="B115" s="3" t="str">
        <f t="shared" si="5"/>
        <v>Refrigeration and air-conditioning</v>
      </c>
      <c r="C115" s="3" t="str">
        <f t="shared" si="5"/>
        <v>HFC</v>
      </c>
      <c r="D115" s="3" t="str">
        <f t="shared" si="5"/>
        <v>HFC-143a</v>
      </c>
      <c r="E115" s="1728">
        <f t="shared" si="7"/>
        <v>1.2104166666666667</v>
      </c>
      <c r="F115" s="1726">
        <f t="shared" si="10"/>
        <v>4.5076940923130153E-6</v>
      </c>
      <c r="G115" s="1726">
        <f t="shared" si="10"/>
        <v>1.1103323938505679E-5</v>
      </c>
      <c r="H115" s="1726">
        <f t="shared" si="10"/>
        <v>2.1288699948621633E-5</v>
      </c>
      <c r="I115" s="1726">
        <f t="shared" si="10"/>
        <v>1.5961701598265531E-3</v>
      </c>
      <c r="J115" s="1726">
        <f t="shared" si="10"/>
        <v>4.4472267640225226E-3</v>
      </c>
      <c r="K115" s="1726">
        <f t="shared" si="10"/>
        <v>1.1107737278983924E-2</v>
      </c>
      <c r="L115" s="1726">
        <f t="shared" si="10"/>
        <v>2.0659970010604808E-2</v>
      </c>
      <c r="M115" s="1726">
        <f t="shared" si="10"/>
        <v>3.4206585858856019E-2</v>
      </c>
      <c r="N115" s="1726">
        <f t="shared" si="10"/>
        <v>4.9596095105295827E-2</v>
      </c>
      <c r="O115" s="1726">
        <f t="shared" si="10"/>
        <v>7.082357343129618E-2</v>
      </c>
      <c r="P115" s="1726">
        <f t="shared" si="10"/>
        <v>8.733230728730064E-2</v>
      </c>
      <c r="Q115" s="1726">
        <f t="shared" si="10"/>
        <v>0.10817501738544939</v>
      </c>
      <c r="R115" s="1726">
        <f t="shared" si="10"/>
        <v>0.13167252832941642</v>
      </c>
      <c r="S115" s="1726">
        <f t="shared" si="10"/>
        <v>0.15591047969059296</v>
      </c>
      <c r="T115" s="1726">
        <f t="shared" si="10"/>
        <v>0.17823636493764719</v>
      </c>
      <c r="U115" s="1726">
        <f t="shared" si="10"/>
        <v>0.21575961040070421</v>
      </c>
      <c r="V115" s="1726">
        <f t="shared" si="10"/>
        <v>0.25644128740352529</v>
      </c>
      <c r="W115" s="1726">
        <f t="shared" si="10"/>
        <v>0.30218145073643815</v>
      </c>
      <c r="X115" s="1726">
        <f t="shared" si="10"/>
        <v>0.35409892626905459</v>
      </c>
      <c r="Y115" s="1726">
        <f t="shared" si="10"/>
        <v>0.39392619852708727</v>
      </c>
      <c r="Z115" s="1726">
        <f t="shared" si="10"/>
        <v>0.40366959468879882</v>
      </c>
      <c r="AA115" s="1726">
        <f t="shared" si="10"/>
        <v>0.50097650150941908</v>
      </c>
      <c r="AB115" s="1726">
        <f t="shared" si="10"/>
        <v>0.60517065792466496</v>
      </c>
      <c r="AC115" s="1726">
        <f t="shared" si="10"/>
        <v>0.68604492864480482</v>
      </c>
      <c r="AD115" s="1726">
        <f t="shared" si="10"/>
        <v>0.79081708648338844</v>
      </c>
      <c r="AE115" s="1726">
        <f t="shared" si="10"/>
        <v>0.79333137785513586</v>
      </c>
      <c r="AF115" s="1726">
        <f t="shared" si="10"/>
        <v>0.81599223360901352</v>
      </c>
      <c r="AG115" s="1726">
        <f t="shared" si="10"/>
        <v>0.61010995355122077</v>
      </c>
      <c r="AH115" s="1726">
        <f t="shared" si="10"/>
        <v>0.7650968498605466</v>
      </c>
      <c r="AI115" s="1726">
        <f t="shared" si="10"/>
        <v>0.67078830913150433</v>
      </c>
      <c r="AJ115" s="1726">
        <f t="shared" si="10"/>
        <v>0.73767454020865331</v>
      </c>
      <c r="AK115" s="1726">
        <f t="shared" si="10"/>
        <v>0.74022895886866802</v>
      </c>
      <c r="AL115" s="1726">
        <f t="shared" si="10"/>
        <v>0.73678876833263518</v>
      </c>
      <c r="AM115" s="1726"/>
    </row>
    <row r="116" spans="1:39" ht="15.75" customHeight="1" x14ac:dyDescent="0.25">
      <c r="A116" s="3"/>
      <c r="B116" s="3" t="str">
        <f t="shared" si="5"/>
        <v>Fire protection</v>
      </c>
      <c r="C116" s="3" t="str">
        <f t="shared" si="5"/>
        <v>HFC</v>
      </c>
      <c r="D116" s="3" t="str">
        <f t="shared" si="5"/>
        <v>HFC-23</v>
      </c>
      <c r="E116" s="1728">
        <f t="shared" si="7"/>
        <v>1.1774193548387097</v>
      </c>
      <c r="F116" s="1726">
        <f t="shared" si="10"/>
        <v>0</v>
      </c>
      <c r="G116" s="1726">
        <f t="shared" si="10"/>
        <v>0</v>
      </c>
      <c r="H116" s="1726">
        <f t="shared" si="10"/>
        <v>0</v>
      </c>
      <c r="I116" s="1726">
        <f t="shared" si="10"/>
        <v>0</v>
      </c>
      <c r="J116" s="1726">
        <f t="shared" si="10"/>
        <v>0</v>
      </c>
      <c r="K116" s="1726">
        <f t="shared" si="10"/>
        <v>1.0954255927589853E-5</v>
      </c>
      <c r="L116" s="1726">
        <f t="shared" si="10"/>
        <v>2.456470499795807E-5</v>
      </c>
      <c r="M116" s="1726">
        <f t="shared" si="10"/>
        <v>4.6255211710234037E-5</v>
      </c>
      <c r="N116" s="1726">
        <f t="shared" si="10"/>
        <v>6.7848196628092475E-5</v>
      </c>
      <c r="O116" s="1726">
        <f t="shared" si="10"/>
        <v>9.7517162990399424E-5</v>
      </c>
      <c r="P116" s="1726">
        <f t="shared" si="10"/>
        <v>1.2726552049466115E-4</v>
      </c>
      <c r="Q116" s="1726">
        <f t="shared" si="10"/>
        <v>1.5467252551876407E-4</v>
      </c>
      <c r="R116" s="1726">
        <f t="shared" si="10"/>
        <v>1.7963043661400874E-4</v>
      </c>
      <c r="S116" s="1726">
        <f t="shared" si="10"/>
        <v>1.9902799546744342E-4</v>
      </c>
      <c r="T116" s="1726">
        <f t="shared" si="10"/>
        <v>2.1812373185547078E-4</v>
      </c>
      <c r="U116" s="1726">
        <f t="shared" si="10"/>
        <v>2.3971787596177731E-4</v>
      </c>
      <c r="V116" s="1726">
        <f t="shared" si="10"/>
        <v>2.5795595762703266E-4</v>
      </c>
      <c r="W116" s="1726">
        <f t="shared" si="10"/>
        <v>2.7837202804506213E-4</v>
      </c>
      <c r="X116" s="1726">
        <f t="shared" si="10"/>
        <v>2.9619713185669375E-4</v>
      </c>
      <c r="Y116" s="1726">
        <f t="shared" si="10"/>
        <v>3.1754278650377024E-4</v>
      </c>
      <c r="Z116" s="1726">
        <f t="shared" si="10"/>
        <v>3.4245377721385566E-4</v>
      </c>
      <c r="AA116" s="1726">
        <f t="shared" si="10"/>
        <v>3.6468774668985826E-4</v>
      </c>
      <c r="AB116" s="1726">
        <f t="shared" si="10"/>
        <v>3.9213494120544299E-4</v>
      </c>
      <c r="AC116" s="1726">
        <f t="shared" si="10"/>
        <v>4.1627564560236629E-4</v>
      </c>
      <c r="AD116" s="1726">
        <f t="shared" si="10"/>
        <v>4.427778067996393E-4</v>
      </c>
      <c r="AE116" s="1726">
        <f t="shared" si="10"/>
        <v>4.7138296328566831E-4</v>
      </c>
      <c r="AF116" s="1726">
        <f t="shared" si="10"/>
        <v>4.9907613140417507E-4</v>
      </c>
      <c r="AG116" s="1726">
        <f t="shared" si="10"/>
        <v>5.2995611314987558E-4</v>
      </c>
      <c r="AH116" s="1726">
        <f t="shared" si="10"/>
        <v>5.6067765764386708E-4</v>
      </c>
      <c r="AI116" s="1726">
        <f t="shared" si="10"/>
        <v>5.9396772661095385E-4</v>
      </c>
      <c r="AJ116" s="1726">
        <f t="shared" si="10"/>
        <v>6.2655342164842794E-4</v>
      </c>
      <c r="AK116" s="1726">
        <f t="shared" si="10"/>
        <v>6.4993388556584808E-4</v>
      </c>
      <c r="AL116" s="1726">
        <f t="shared" si="10"/>
        <v>6.7059373871104647E-4</v>
      </c>
      <c r="AM116" s="1726"/>
    </row>
    <row r="117" spans="1:39" ht="15.75" customHeight="1" x14ac:dyDescent="0.25">
      <c r="A117" s="3"/>
      <c r="B117" s="3" t="str">
        <f t="shared" si="5"/>
        <v>Fire protection</v>
      </c>
      <c r="C117" s="3" t="str">
        <f t="shared" si="5"/>
        <v>HFC</v>
      </c>
      <c r="D117" s="3" t="str">
        <f t="shared" si="5"/>
        <v>HFC-236fa</v>
      </c>
      <c r="E117" s="1728">
        <f t="shared" si="7"/>
        <v>1.0781637717121588</v>
      </c>
      <c r="F117" s="1726">
        <f t="shared" si="10"/>
        <v>0</v>
      </c>
      <c r="G117" s="1726">
        <f t="shared" si="10"/>
        <v>0</v>
      </c>
      <c r="H117" s="1726">
        <f t="shared" si="10"/>
        <v>0</v>
      </c>
      <c r="I117" s="1726">
        <f t="shared" si="10"/>
        <v>0</v>
      </c>
      <c r="J117" s="1726">
        <f t="shared" si="10"/>
        <v>0</v>
      </c>
      <c r="K117" s="1726">
        <f t="shared" si="10"/>
        <v>0</v>
      </c>
      <c r="L117" s="1726">
        <f t="shared" si="10"/>
        <v>0</v>
      </c>
      <c r="M117" s="1726">
        <f t="shared" si="10"/>
        <v>2.1215338621600856E-4</v>
      </c>
      <c r="N117" s="1726">
        <f t="shared" si="10"/>
        <v>6.4613789446369698E-4</v>
      </c>
      <c r="O117" s="1726">
        <f t="shared" si="10"/>
        <v>1.3156356610567776E-3</v>
      </c>
      <c r="P117" s="1726">
        <f t="shared" si="10"/>
        <v>2.0049345557194187E-3</v>
      </c>
      <c r="Q117" s="1726">
        <f t="shared" si="10"/>
        <v>2.7214799997444497E-3</v>
      </c>
      <c r="R117" s="1726">
        <f t="shared" si="10"/>
        <v>3.4667033805895345E-3</v>
      </c>
      <c r="S117" s="1726">
        <f t="shared" si="10"/>
        <v>4.0196129443386477E-3</v>
      </c>
      <c r="T117" s="1726">
        <f t="shared" si="10"/>
        <v>4.3654813084132455E-3</v>
      </c>
      <c r="U117" s="1726">
        <f t="shared" si="10"/>
        <v>4.4928425093250608E-3</v>
      </c>
      <c r="V117" s="1726">
        <f t="shared" si="10"/>
        <v>4.6125686904520688E-3</v>
      </c>
      <c r="W117" s="1726">
        <f t="shared" si="10"/>
        <v>4.7293626783562115E-3</v>
      </c>
      <c r="X117" s="1726">
        <f t="shared" si="10"/>
        <v>4.8530074181988639E-3</v>
      </c>
      <c r="Y117" s="1726">
        <f t="shared" si="10"/>
        <v>4.9957711952082103E-3</v>
      </c>
      <c r="Z117" s="1726">
        <f t="shared" si="10"/>
        <v>5.1551427659641668E-3</v>
      </c>
      <c r="AA117" s="1726">
        <f t="shared" si="10"/>
        <v>5.3204833792459038E-3</v>
      </c>
      <c r="AB117" s="1726">
        <f t="shared" si="10"/>
        <v>5.4857251742884373E-3</v>
      </c>
      <c r="AC117" s="1726">
        <f t="shared" si="10"/>
        <v>5.6472149593483432E-3</v>
      </c>
      <c r="AD117" s="1726">
        <f t="shared" si="10"/>
        <v>5.8092119090528936E-3</v>
      </c>
      <c r="AE117" s="1726">
        <f t="shared" si="10"/>
        <v>5.9705236983745424E-3</v>
      </c>
      <c r="AF117" s="1726">
        <f t="shared" si="10"/>
        <v>6.1263157269764133E-3</v>
      </c>
      <c r="AG117" s="1726">
        <f t="shared" si="10"/>
        <v>6.2943177945722038E-3</v>
      </c>
      <c r="AH117" s="1726">
        <f t="shared" si="10"/>
        <v>6.4661915557732074E-3</v>
      </c>
      <c r="AI117" s="1726">
        <f t="shared" si="10"/>
        <v>6.644198006618451E-3</v>
      </c>
      <c r="AJ117" s="1726">
        <f t="shared" si="10"/>
        <v>6.9095721217346485E-3</v>
      </c>
      <c r="AK117" s="1726">
        <f t="shared" si="10"/>
        <v>7.1070634608603684E-3</v>
      </c>
      <c r="AL117" s="1726">
        <f t="shared" si="10"/>
        <v>7.2831318341558138E-3</v>
      </c>
      <c r="AM117" s="1726"/>
    </row>
    <row r="118" spans="1:39" ht="15.75" customHeight="1" x14ac:dyDescent="0.25">
      <c r="A118" s="3"/>
      <c r="B118" s="3" t="str">
        <f t="shared" si="5"/>
        <v>Refrigeration and air-conditioning</v>
      </c>
      <c r="C118" s="3" t="str">
        <f t="shared" si="5"/>
        <v>HFC</v>
      </c>
      <c r="D118" s="3" t="str">
        <f t="shared" si="5"/>
        <v>HFC-236fa</v>
      </c>
      <c r="E118" s="1728">
        <f t="shared" si="7"/>
        <v>1.0781637717121588</v>
      </c>
      <c r="F118" s="1726">
        <f t="shared" si="10"/>
        <v>0</v>
      </c>
      <c r="G118" s="1726">
        <f t="shared" si="10"/>
        <v>0</v>
      </c>
      <c r="H118" s="1726">
        <f t="shared" si="10"/>
        <v>0</v>
      </c>
      <c r="I118" s="1726">
        <f t="shared" si="10"/>
        <v>1.1805442121498914E-3</v>
      </c>
      <c r="J118" s="1726">
        <f t="shared" si="10"/>
        <v>3.5608537412825923E-3</v>
      </c>
      <c r="K118" s="1726">
        <f t="shared" si="10"/>
        <v>5.9022600103244317E-3</v>
      </c>
      <c r="L118" s="1726">
        <f t="shared" si="10"/>
        <v>7.3446392843244121E-3</v>
      </c>
      <c r="M118" s="1726">
        <f t="shared" si="10"/>
        <v>8.7808829012457883E-3</v>
      </c>
      <c r="N118" s="1726">
        <f t="shared" si="10"/>
        <v>1.008944322205063E-2</v>
      </c>
      <c r="O118" s="1726">
        <f t="shared" si="10"/>
        <v>1.127964103523678E-2</v>
      </c>
      <c r="P118" s="1726">
        <f t="shared" si="10"/>
        <v>1.2366449233147192E-2</v>
      </c>
      <c r="Q118" s="1726">
        <f t="shared" si="10"/>
        <v>1.3365131749486841E-2</v>
      </c>
      <c r="R118" s="1726">
        <f t="shared" si="10"/>
        <v>1.4257222641387152E-2</v>
      </c>
      <c r="S118" s="1726">
        <f t="shared" si="10"/>
        <v>1.501715712027043E-2</v>
      </c>
      <c r="T118" s="1726">
        <f t="shared" si="10"/>
        <v>1.5631344224028391E-2</v>
      </c>
      <c r="U118" s="1726">
        <f t="shared" si="10"/>
        <v>1.6105162268179658E-2</v>
      </c>
      <c r="V118" s="1726">
        <f t="shared" si="10"/>
        <v>1.6420356655568676E-2</v>
      </c>
      <c r="W118" s="1726">
        <f t="shared" si="10"/>
        <v>1.6583333282712314E-2</v>
      </c>
      <c r="X118" s="1726">
        <f t="shared" si="10"/>
        <v>1.6639340493969819E-2</v>
      </c>
      <c r="Y118" s="1726">
        <f t="shared" si="10"/>
        <v>1.6624273560457203E-2</v>
      </c>
      <c r="Z118" s="1726">
        <f t="shared" si="10"/>
        <v>1.6657916179309496E-2</v>
      </c>
      <c r="AA118" s="1726">
        <f t="shared" si="10"/>
        <v>1.6688213053246675E-2</v>
      </c>
      <c r="AB118" s="1726">
        <f t="shared" si="10"/>
        <v>1.6706672999982301E-2</v>
      </c>
      <c r="AC118" s="1726">
        <f t="shared" si="10"/>
        <v>1.697382274106126E-2</v>
      </c>
      <c r="AD118" s="1726">
        <f t="shared" si="10"/>
        <v>1.6116344740218936E-2</v>
      </c>
      <c r="AE118" s="1726">
        <f t="shared" si="10"/>
        <v>1.3773568499660492E-2</v>
      </c>
      <c r="AF118" s="1726">
        <f t="shared" si="10"/>
        <v>1.229096085370451E-2</v>
      </c>
      <c r="AG118" s="1726">
        <f t="shared" si="10"/>
        <v>1.0829858862946552E-2</v>
      </c>
      <c r="AH118" s="1726">
        <f t="shared" si="10"/>
        <v>9.2567131512359142E-3</v>
      </c>
      <c r="AI118" s="1726">
        <f t="shared" si="10"/>
        <v>7.8046735353334848E-3</v>
      </c>
      <c r="AJ118" s="1726">
        <f t="shared" si="10"/>
        <v>6.5558506858061439E-3</v>
      </c>
      <c r="AK118" s="1726">
        <f t="shared" si="10"/>
        <v>5.3422865690947712E-3</v>
      </c>
      <c r="AL118" s="1726">
        <f t="shared" si="10"/>
        <v>4.2315313997136721E-3</v>
      </c>
      <c r="AM118" s="1726"/>
    </row>
    <row r="119" spans="1:39" ht="15.75" customHeight="1" x14ac:dyDescent="0.25">
      <c r="A119" s="3"/>
      <c r="B119" s="3" t="str">
        <f t="shared" si="5"/>
        <v>Refrigeration and air-conditioning</v>
      </c>
      <c r="C119" s="3" t="str">
        <f t="shared" si="5"/>
        <v>HFC</v>
      </c>
      <c r="D119" s="3" t="str">
        <f t="shared" si="5"/>
        <v>HFC-32</v>
      </c>
      <c r="E119" s="1728">
        <f t="shared" si="7"/>
        <v>1.138847858197932</v>
      </c>
      <c r="F119" s="1726">
        <f t="shared" si="10"/>
        <v>0</v>
      </c>
      <c r="G119" s="1726">
        <f t="shared" si="10"/>
        <v>0</v>
      </c>
      <c r="H119" s="1726">
        <f t="shared" si="10"/>
        <v>0</v>
      </c>
      <c r="I119" s="1726">
        <f t="shared" si="10"/>
        <v>0</v>
      </c>
      <c r="J119" s="1726">
        <f t="shared" si="10"/>
        <v>0</v>
      </c>
      <c r="K119" s="1726">
        <f t="shared" si="10"/>
        <v>0</v>
      </c>
      <c r="L119" s="1726">
        <f t="shared" si="10"/>
        <v>3.4699574710132322E-6</v>
      </c>
      <c r="M119" s="1726">
        <f t="shared" si="10"/>
        <v>9.8530964477012256E-6</v>
      </c>
      <c r="N119" s="1726">
        <f t="shared" si="10"/>
        <v>2.1006249081277239E-5</v>
      </c>
      <c r="O119" s="1726">
        <f t="shared" si="10"/>
        <v>4.0755731526590407E-5</v>
      </c>
      <c r="P119" s="1726">
        <f t="shared" si="10"/>
        <v>1.8813265014940163E-4</v>
      </c>
      <c r="Q119" s="1726">
        <f t="shared" si="10"/>
        <v>4.7101518837129656E-4</v>
      </c>
      <c r="R119" s="1726">
        <f t="shared" si="10"/>
        <v>9.2444346057260159E-4</v>
      </c>
      <c r="S119" s="1726">
        <f t="shared" si="10"/>
        <v>1.537761171964018E-3</v>
      </c>
      <c r="T119" s="1726">
        <f t="shared" si="10"/>
        <v>2.3546705905743183E-3</v>
      </c>
      <c r="U119" s="1726">
        <f t="shared" si="10"/>
        <v>3.5082152252173455E-3</v>
      </c>
      <c r="V119" s="1726">
        <f t="shared" si="10"/>
        <v>5.7079475264536998E-3</v>
      </c>
      <c r="W119" s="1726">
        <f t="shared" si="10"/>
        <v>8.1877885455828563E-3</v>
      </c>
      <c r="X119" s="1726">
        <f t="shared" si="10"/>
        <v>1.0787608531141897E-2</v>
      </c>
      <c r="Y119" s="1726">
        <f t="shared" si="10"/>
        <v>1.3898326384363006E-2</v>
      </c>
      <c r="Z119" s="1726">
        <f t="shared" si="10"/>
        <v>1.9427266566387942E-2</v>
      </c>
      <c r="AA119" s="1726">
        <f t="shared" si="10"/>
        <v>3.5018027630221098E-2</v>
      </c>
      <c r="AB119" s="1726">
        <f t="shared" si="10"/>
        <v>3.717862047248665E-2</v>
      </c>
      <c r="AC119" s="1726">
        <f t="shared" si="10"/>
        <v>5.5618635620411951E-2</v>
      </c>
      <c r="AD119" s="1726">
        <f t="shared" si="10"/>
        <v>6.9113497672989369E-2</v>
      </c>
      <c r="AE119" s="1726">
        <f t="shared" si="10"/>
        <v>8.3766508008387711E-2</v>
      </c>
      <c r="AF119" s="1726">
        <f t="shared" si="10"/>
        <v>9.5906930309458224E-2</v>
      </c>
      <c r="AG119" s="1726">
        <f t="shared" si="10"/>
        <v>9.2206490198201735E-2</v>
      </c>
      <c r="AH119" s="1726">
        <f t="shared" si="10"/>
        <v>0.11127142168724008</v>
      </c>
      <c r="AI119" s="1726">
        <f t="shared" si="10"/>
        <v>0.11820118404832088</v>
      </c>
      <c r="AJ119" s="1726">
        <f t="shared" si="10"/>
        <v>0.15730941336136001</v>
      </c>
      <c r="AK119" s="1726">
        <f t="shared" si="10"/>
        <v>0.19206471100663988</v>
      </c>
      <c r="AL119" s="1726">
        <f t="shared" si="10"/>
        <v>0.21467428733671656</v>
      </c>
      <c r="AM119" s="1726"/>
    </row>
    <row r="120" spans="1:39" ht="15.75" customHeight="1" x14ac:dyDescent="0.25">
      <c r="A120" s="3"/>
      <c r="B120" s="3" t="str">
        <f t="shared" si="5"/>
        <v>Fire protection</v>
      </c>
      <c r="C120" s="3" t="str">
        <f t="shared" si="5"/>
        <v>HFC</v>
      </c>
      <c r="D120" s="3" t="str">
        <f t="shared" si="5"/>
        <v>Other HFC</v>
      </c>
      <c r="E120" s="1728">
        <f t="shared" si="7"/>
        <v>1.0981515348160384</v>
      </c>
      <c r="F120" s="1726">
        <f t="shared" si="10"/>
        <v>0</v>
      </c>
      <c r="G120" s="1726">
        <f t="shared" si="10"/>
        <v>0</v>
      </c>
      <c r="H120" s="1726">
        <f t="shared" si="10"/>
        <v>0</v>
      </c>
      <c r="I120" s="1726">
        <f t="shared" si="10"/>
        <v>0</v>
      </c>
      <c r="J120" s="1726">
        <f t="shared" si="10"/>
        <v>7.6790445618466066E-5</v>
      </c>
      <c r="K120" s="1726">
        <f t="shared" si="10"/>
        <v>6.4036132166029821E-4</v>
      </c>
      <c r="L120" s="1726">
        <f t="shared" si="10"/>
        <v>1.5659803142893491E-3</v>
      </c>
      <c r="M120" s="1726">
        <f t="shared" si="10"/>
        <v>2.9178811279373818E-3</v>
      </c>
      <c r="N120" s="1726">
        <f t="shared" si="10"/>
        <v>4.5830748253314112E-3</v>
      </c>
      <c r="O120" s="1726">
        <f t="shared" si="10"/>
        <v>6.8193305213767822E-3</v>
      </c>
      <c r="P120" s="1726">
        <f t="shared" si="10"/>
        <v>8.9488768637416456E-3</v>
      </c>
      <c r="Q120" s="1726">
        <f t="shared" si="10"/>
        <v>1.0923469418427752E-2</v>
      </c>
      <c r="R120" s="1726">
        <f t="shared" si="10"/>
        <v>1.2749494472049124E-2</v>
      </c>
      <c r="S120" s="1726">
        <f t="shared" si="10"/>
        <v>1.4203358573057927E-2</v>
      </c>
      <c r="T120" s="1726">
        <f t="shared" si="10"/>
        <v>1.5631686026547929E-2</v>
      </c>
      <c r="U120" s="1726">
        <f t="shared" si="10"/>
        <v>1.702113940334456E-2</v>
      </c>
      <c r="V120" s="1726">
        <f t="shared" si="10"/>
        <v>1.834105848748421E-2</v>
      </c>
      <c r="W120" s="1726">
        <f t="shared" si="10"/>
        <v>1.9597614077485514E-2</v>
      </c>
      <c r="X120" s="1726">
        <f t="shared" si="10"/>
        <v>2.0834341419370947E-2</v>
      </c>
      <c r="Y120" s="1726">
        <f t="shared" si="10"/>
        <v>2.2098298151015605E-2</v>
      </c>
      <c r="Z120" s="1726">
        <f t="shared" si="10"/>
        <v>2.3419690315615818E-2</v>
      </c>
      <c r="AA120" s="1726">
        <f t="shared" si="10"/>
        <v>2.4735833566491762E-2</v>
      </c>
      <c r="AB120" s="1726">
        <f t="shared" si="10"/>
        <v>2.6027249670463416E-2</v>
      </c>
      <c r="AC120" s="1726">
        <f t="shared" si="10"/>
        <v>2.7264660640233938E-2</v>
      </c>
      <c r="AD120" s="1726">
        <f t="shared" si="10"/>
        <v>2.8461432568745594E-2</v>
      </c>
      <c r="AE120" s="1726">
        <f t="shared" si="10"/>
        <v>2.959826032680021E-2</v>
      </c>
      <c r="AF120" s="1726">
        <f t="shared" si="10"/>
        <v>3.0652820219309637E-2</v>
      </c>
      <c r="AG120" s="1726">
        <f t="shared" si="10"/>
        <v>3.1707746728219369E-2</v>
      </c>
      <c r="AH120" s="1726">
        <f t="shared" si="10"/>
        <v>3.2716088911436826E-2</v>
      </c>
      <c r="AI120" s="1726">
        <f t="shared" si="10"/>
        <v>3.3675049741089924E-2</v>
      </c>
      <c r="AJ120" s="1726">
        <f t="shared" si="10"/>
        <v>3.4661272139146014E-2</v>
      </c>
      <c r="AK120" s="1726">
        <f t="shared" si="10"/>
        <v>3.5293575771840086E-2</v>
      </c>
      <c r="AL120" s="1726">
        <f t="shared" si="10"/>
        <v>3.5795724799536605E-2</v>
      </c>
      <c r="AM120" s="1726"/>
    </row>
    <row r="121" spans="1:39" ht="15.75" customHeight="1" x14ac:dyDescent="0.25">
      <c r="A121" s="3"/>
      <c r="B121" s="3" t="str">
        <f t="shared" ref="B121:D136" si="11">B31</f>
        <v>Foam blowing agents</v>
      </c>
      <c r="C121" s="3" t="str">
        <f t="shared" si="11"/>
        <v>HFC</v>
      </c>
      <c r="D121" s="3" t="str">
        <f t="shared" si="11"/>
        <v>Other HFC</v>
      </c>
      <c r="E121" s="1728">
        <f t="shared" si="7"/>
        <v>1.0981515348160384</v>
      </c>
      <c r="F121" s="1726">
        <f t="shared" si="10"/>
        <v>0</v>
      </c>
      <c r="G121" s="1726">
        <f t="shared" si="10"/>
        <v>0</v>
      </c>
      <c r="H121" s="1726">
        <f t="shared" si="10"/>
        <v>0</v>
      </c>
      <c r="I121" s="1726">
        <f t="shared" si="10"/>
        <v>0</v>
      </c>
      <c r="J121" s="1726">
        <f t="shared" si="10"/>
        <v>0</v>
      </c>
      <c r="K121" s="1726">
        <f t="shared" si="10"/>
        <v>0</v>
      </c>
      <c r="L121" s="1726">
        <f t="shared" si="10"/>
        <v>0</v>
      </c>
      <c r="M121" s="1726">
        <f t="shared" si="10"/>
        <v>0</v>
      </c>
      <c r="N121" s="1726">
        <f t="shared" si="10"/>
        <v>0</v>
      </c>
      <c r="O121" s="1726">
        <f t="shared" si="10"/>
        <v>0</v>
      </c>
      <c r="P121" s="1726">
        <f t="shared" si="10"/>
        <v>0</v>
      </c>
      <c r="Q121" s="1726">
        <f t="shared" si="10"/>
        <v>0</v>
      </c>
      <c r="R121" s="1726">
        <f t="shared" si="10"/>
        <v>0</v>
      </c>
      <c r="S121" s="1726">
        <f t="shared" si="10"/>
        <v>0</v>
      </c>
      <c r="T121" s="1726">
        <f t="shared" si="10"/>
        <v>0</v>
      </c>
      <c r="U121" s="1726">
        <f t="shared" si="10"/>
        <v>0</v>
      </c>
      <c r="V121" s="1726">
        <f t="shared" si="10"/>
        <v>0</v>
      </c>
      <c r="W121" s="1726">
        <f t="shared" si="10"/>
        <v>0</v>
      </c>
      <c r="X121" s="1726">
        <f t="shared" si="10"/>
        <v>0</v>
      </c>
      <c r="Y121" s="1726">
        <f t="shared" si="10"/>
        <v>0</v>
      </c>
      <c r="Z121" s="1726">
        <f t="shared" si="10"/>
        <v>0</v>
      </c>
      <c r="AA121" s="1726">
        <f t="shared" si="10"/>
        <v>0</v>
      </c>
      <c r="AB121" s="1726">
        <f t="shared" si="10"/>
        <v>0</v>
      </c>
      <c r="AC121" s="1726">
        <f t="shared" si="10"/>
        <v>0</v>
      </c>
      <c r="AD121" s="1726">
        <f t="shared" ref="AD121:AL121" si="12">AD31*$E121</f>
        <v>0</v>
      </c>
      <c r="AE121" s="1726">
        <f t="shared" si="12"/>
        <v>0</v>
      </c>
      <c r="AF121" s="1726">
        <f t="shared" si="12"/>
        <v>0</v>
      </c>
      <c r="AG121" s="1726">
        <f t="shared" si="12"/>
        <v>5.4015822353606032E-6</v>
      </c>
      <c r="AH121" s="1726">
        <f t="shared" si="12"/>
        <v>1.2458167355315753E-5</v>
      </c>
      <c r="AI121" s="1726">
        <f t="shared" si="12"/>
        <v>2.1038091133605746E-5</v>
      </c>
      <c r="AJ121" s="1726">
        <f t="shared" si="12"/>
        <v>3.1652390734460095E-5</v>
      </c>
      <c r="AK121" s="1726">
        <f t="shared" si="12"/>
        <v>4.3663694584516963E-5</v>
      </c>
      <c r="AL121" s="1726">
        <f t="shared" si="12"/>
        <v>4.9594877936176415E-5</v>
      </c>
      <c r="AM121" s="1726"/>
    </row>
    <row r="122" spans="1:39" ht="15.75" customHeight="1" x14ac:dyDescent="0.25">
      <c r="A122" s="3"/>
      <c r="B122" s="3" t="str">
        <f t="shared" si="11"/>
        <v>Foam blowing agents</v>
      </c>
      <c r="C122" s="3" t="str">
        <f t="shared" si="11"/>
        <v>HFC</v>
      </c>
      <c r="D122" s="3" t="str">
        <f t="shared" si="11"/>
        <v>Other HFC</v>
      </c>
      <c r="E122" s="1728">
        <f t="shared" si="7"/>
        <v>1.0981515348160384</v>
      </c>
      <c r="F122" s="1726">
        <f t="shared" ref="F122:AL129" si="13">F32*$E122</f>
        <v>0</v>
      </c>
      <c r="G122" s="1726">
        <f t="shared" si="13"/>
        <v>0</v>
      </c>
      <c r="H122" s="1726">
        <f t="shared" si="13"/>
        <v>0</v>
      </c>
      <c r="I122" s="1726">
        <f t="shared" si="13"/>
        <v>0</v>
      </c>
      <c r="J122" s="1726">
        <f t="shared" si="13"/>
        <v>0</v>
      </c>
      <c r="K122" s="1726">
        <f t="shared" si="13"/>
        <v>0</v>
      </c>
      <c r="L122" s="1726">
        <f t="shared" si="13"/>
        <v>0</v>
      </c>
      <c r="M122" s="1726">
        <f t="shared" si="13"/>
        <v>0</v>
      </c>
      <c r="N122" s="1726">
        <f t="shared" si="13"/>
        <v>0</v>
      </c>
      <c r="O122" s="1726">
        <f t="shared" si="13"/>
        <v>0</v>
      </c>
      <c r="P122" s="1726">
        <f t="shared" si="13"/>
        <v>0</v>
      </c>
      <c r="Q122" s="1726">
        <f t="shared" si="13"/>
        <v>0</v>
      </c>
      <c r="R122" s="1726">
        <f t="shared" si="13"/>
        <v>0</v>
      </c>
      <c r="S122" s="1726">
        <f t="shared" si="13"/>
        <v>0</v>
      </c>
      <c r="T122" s="1726">
        <f t="shared" si="13"/>
        <v>0</v>
      </c>
      <c r="U122" s="1726">
        <f t="shared" si="13"/>
        <v>0</v>
      </c>
      <c r="V122" s="1726">
        <f t="shared" si="13"/>
        <v>0</v>
      </c>
      <c r="W122" s="1726">
        <f t="shared" si="13"/>
        <v>0</v>
      </c>
      <c r="X122" s="1726">
        <f t="shared" si="13"/>
        <v>0</v>
      </c>
      <c r="Y122" s="1726">
        <f t="shared" si="13"/>
        <v>0</v>
      </c>
      <c r="Z122" s="1726">
        <f t="shared" si="13"/>
        <v>0</v>
      </c>
      <c r="AA122" s="1726">
        <f t="shared" si="13"/>
        <v>0</v>
      </c>
      <c r="AB122" s="1726">
        <f t="shared" si="13"/>
        <v>0</v>
      </c>
      <c r="AC122" s="1726">
        <f t="shared" si="13"/>
        <v>0</v>
      </c>
      <c r="AD122" s="1726">
        <f t="shared" si="13"/>
        <v>0</v>
      </c>
      <c r="AE122" s="1726">
        <f t="shared" si="13"/>
        <v>3.8210871147948842E-7</v>
      </c>
      <c r="AF122" s="1726">
        <f t="shared" si="13"/>
        <v>3.2943008134574683E-6</v>
      </c>
      <c r="AG122" s="1726">
        <f t="shared" si="13"/>
        <v>9.2928715286141188E-6</v>
      </c>
      <c r="AH122" s="1726">
        <f t="shared" si="13"/>
        <v>1.4974019518176554E-5</v>
      </c>
      <c r="AI122" s="1726">
        <f t="shared" si="13"/>
        <v>2.1794975187835376E-5</v>
      </c>
      <c r="AJ122" s="1726">
        <f t="shared" si="13"/>
        <v>3.1153211216317763E-5</v>
      </c>
      <c r="AK122" s="1726">
        <f t="shared" si="13"/>
        <v>3.6687434042228032E-5</v>
      </c>
      <c r="AL122" s="1726">
        <f t="shared" si="13"/>
        <v>4.1037481676749139E-5</v>
      </c>
      <c r="AM122" s="1726"/>
    </row>
    <row r="123" spans="1:39" ht="15.75" customHeight="1" x14ac:dyDescent="0.25">
      <c r="A123" s="3"/>
      <c r="B123" s="3" t="str">
        <f t="shared" si="11"/>
        <v>Foam blowing agents</v>
      </c>
      <c r="C123" s="3" t="str">
        <f t="shared" si="11"/>
        <v>HFC</v>
      </c>
      <c r="D123" s="3" t="str">
        <f t="shared" si="11"/>
        <v>Other HFC</v>
      </c>
      <c r="E123" s="1728">
        <f t="shared" si="7"/>
        <v>1.0981515348160384</v>
      </c>
      <c r="F123" s="1726">
        <f t="shared" si="13"/>
        <v>1.3696512021782453E-4</v>
      </c>
      <c r="G123" s="1726">
        <f t="shared" si="13"/>
        <v>2.1653023625906875E-4</v>
      </c>
      <c r="H123" s="1726">
        <f t="shared" si="13"/>
        <v>3.0295819220777285E-4</v>
      </c>
      <c r="I123" s="1726">
        <f t="shared" si="13"/>
        <v>3.9650232236480983E-4</v>
      </c>
      <c r="J123" s="1726">
        <f t="shared" si="13"/>
        <v>4.2704656772299193E-4</v>
      </c>
      <c r="K123" s="1726">
        <f t="shared" si="13"/>
        <v>7.7781283599894586E-4</v>
      </c>
      <c r="L123" s="1726">
        <f t="shared" si="13"/>
        <v>1.2455315881938842E-3</v>
      </c>
      <c r="M123" s="1726">
        <f t="shared" si="13"/>
        <v>1.7284860137259613E-3</v>
      </c>
      <c r="N123" s="1726">
        <f t="shared" si="13"/>
        <v>2.2281340976874377E-3</v>
      </c>
      <c r="O123" s="1726">
        <f t="shared" si="13"/>
        <v>2.7460346646637607E-3</v>
      </c>
      <c r="P123" s="1726">
        <f t="shared" si="13"/>
        <v>2.9371210779821268E-3</v>
      </c>
      <c r="Q123" s="1726">
        <f t="shared" si="13"/>
        <v>3.0253778841724953E-3</v>
      </c>
      <c r="R123" s="1726">
        <f t="shared" si="13"/>
        <v>3.1183066273611309E-3</v>
      </c>
      <c r="S123" s="1726">
        <f t="shared" si="13"/>
        <v>3.2094540542703014E-3</v>
      </c>
      <c r="T123" s="1726">
        <f t="shared" si="13"/>
        <v>3.297063877406504E-3</v>
      </c>
      <c r="U123" s="1726">
        <f t="shared" si="13"/>
        <v>3.309984057361077E-3</v>
      </c>
      <c r="V123" s="1726">
        <f t="shared" si="13"/>
        <v>3.3090303675845059E-3</v>
      </c>
      <c r="W123" s="1726">
        <f t="shared" si="13"/>
        <v>3.2967139361203177E-3</v>
      </c>
      <c r="X123" s="1726">
        <f t="shared" si="13"/>
        <v>3.2810395796910499E-3</v>
      </c>
      <c r="Y123" s="1726">
        <f t="shared" si="13"/>
        <v>3.5461339518855868E-3</v>
      </c>
      <c r="Z123" s="1726">
        <f t="shared" si="13"/>
        <v>3.8323881879782631E-3</v>
      </c>
      <c r="AA123" s="1726">
        <f t="shared" si="13"/>
        <v>3.9132714925824551E-3</v>
      </c>
      <c r="AB123" s="1726">
        <f t="shared" si="13"/>
        <v>3.9878897094989402E-3</v>
      </c>
      <c r="AC123" s="1726">
        <f t="shared" si="13"/>
        <v>4.0529602552922929E-3</v>
      </c>
      <c r="AD123" s="1726">
        <f t="shared" si="13"/>
        <v>4.1166170672274792E-3</v>
      </c>
      <c r="AE123" s="1726">
        <f t="shared" si="13"/>
        <v>4.1769608013276721E-3</v>
      </c>
      <c r="AF123" s="1726">
        <f t="shared" si="13"/>
        <v>4.2320582630648636E-3</v>
      </c>
      <c r="AG123" s="1726">
        <f t="shared" si="13"/>
        <v>4.2942331149106823E-3</v>
      </c>
      <c r="AH123" s="1726">
        <f t="shared" si="13"/>
        <v>4.3577752472354287E-3</v>
      </c>
      <c r="AI123" s="1726">
        <f t="shared" si="13"/>
        <v>4.4230621274215492E-3</v>
      </c>
      <c r="AJ123" s="1726">
        <f t="shared" si="13"/>
        <v>4.5437358529622279E-3</v>
      </c>
      <c r="AK123" s="1726">
        <f t="shared" si="13"/>
        <v>4.6178691556515604E-3</v>
      </c>
      <c r="AL123" s="1726">
        <f t="shared" si="13"/>
        <v>4.6751802395254899E-3</v>
      </c>
      <c r="AM123" s="1726"/>
    </row>
    <row r="124" spans="1:39" ht="15.75" customHeight="1" x14ac:dyDescent="0.25">
      <c r="A124" s="3"/>
      <c r="B124" s="3" t="str">
        <f t="shared" si="11"/>
        <v>Foam blowing agents</v>
      </c>
      <c r="C124" s="3" t="str">
        <f t="shared" si="11"/>
        <v>HFC</v>
      </c>
      <c r="D124" s="3" t="str">
        <f t="shared" si="11"/>
        <v>Other HFC</v>
      </c>
      <c r="E124" s="1728">
        <f t="shared" si="7"/>
        <v>1.0981515348160384</v>
      </c>
      <c r="F124" s="1726">
        <f t="shared" si="13"/>
        <v>0</v>
      </c>
      <c r="G124" s="1726">
        <f t="shared" si="13"/>
        <v>0</v>
      </c>
      <c r="H124" s="1726">
        <f t="shared" si="13"/>
        <v>0</v>
      </c>
      <c r="I124" s="1726">
        <f t="shared" si="13"/>
        <v>0</v>
      </c>
      <c r="J124" s="1726">
        <f t="shared" si="13"/>
        <v>0</v>
      </c>
      <c r="K124" s="1726">
        <f t="shared" si="13"/>
        <v>0</v>
      </c>
      <c r="L124" s="1726">
        <f t="shared" si="13"/>
        <v>0</v>
      </c>
      <c r="M124" s="1726">
        <f t="shared" si="13"/>
        <v>0</v>
      </c>
      <c r="N124" s="1726">
        <f t="shared" si="13"/>
        <v>0</v>
      </c>
      <c r="O124" s="1726">
        <f t="shared" si="13"/>
        <v>0</v>
      </c>
      <c r="P124" s="1726">
        <f t="shared" si="13"/>
        <v>0</v>
      </c>
      <c r="Q124" s="1726">
        <f t="shared" si="13"/>
        <v>0</v>
      </c>
      <c r="R124" s="1726">
        <f t="shared" si="13"/>
        <v>0</v>
      </c>
      <c r="S124" s="1726">
        <f t="shared" si="13"/>
        <v>0</v>
      </c>
      <c r="T124" s="1726">
        <f t="shared" si="13"/>
        <v>0</v>
      </c>
      <c r="U124" s="1726">
        <f t="shared" si="13"/>
        <v>0</v>
      </c>
      <c r="V124" s="1726">
        <f t="shared" si="13"/>
        <v>0</v>
      </c>
      <c r="W124" s="1726">
        <f t="shared" si="13"/>
        <v>0</v>
      </c>
      <c r="X124" s="1726">
        <f t="shared" si="13"/>
        <v>0</v>
      </c>
      <c r="Y124" s="1726">
        <f t="shared" si="13"/>
        <v>0</v>
      </c>
      <c r="Z124" s="1726">
        <f t="shared" si="13"/>
        <v>0</v>
      </c>
      <c r="AA124" s="1726">
        <f t="shared" si="13"/>
        <v>0</v>
      </c>
      <c r="AB124" s="1726">
        <f t="shared" si="13"/>
        <v>0</v>
      </c>
      <c r="AC124" s="1726">
        <f t="shared" si="13"/>
        <v>0</v>
      </c>
      <c r="AD124" s="1726">
        <f t="shared" si="13"/>
        <v>0</v>
      </c>
      <c r="AE124" s="1726">
        <f t="shared" si="13"/>
        <v>0</v>
      </c>
      <c r="AF124" s="1726">
        <f t="shared" si="13"/>
        <v>1.4387515204960454E-5</v>
      </c>
      <c r="AG124" s="1726">
        <f t="shared" si="13"/>
        <v>3.2028598417966526E-5</v>
      </c>
      <c r="AH124" s="1726">
        <f t="shared" si="13"/>
        <v>5.3517886777637401E-5</v>
      </c>
      <c r="AI124" s="1726">
        <f t="shared" si="13"/>
        <v>7.9356828905493713E-5</v>
      </c>
      <c r="AJ124" s="1726">
        <f t="shared" si="13"/>
        <v>1.1161374905834666E-4</v>
      </c>
      <c r="AK124" s="1726">
        <f t="shared" si="13"/>
        <v>1.2812422145107034E-4</v>
      </c>
      <c r="AL124" s="1726">
        <f t="shared" si="13"/>
        <v>1.4506518877363962E-4</v>
      </c>
      <c r="AM124" s="1726"/>
    </row>
    <row r="125" spans="1:39" ht="15.75" customHeight="1" x14ac:dyDescent="0.25">
      <c r="A125" s="3"/>
      <c r="B125" s="3" t="str">
        <f t="shared" si="11"/>
        <v>Foam blowing agents</v>
      </c>
      <c r="C125" s="3" t="str">
        <f t="shared" si="11"/>
        <v>HFC</v>
      </c>
      <c r="D125" s="3" t="str">
        <f t="shared" si="11"/>
        <v>Other HFC</v>
      </c>
      <c r="E125" s="1728">
        <f t="shared" si="7"/>
        <v>1.0981515348160384</v>
      </c>
      <c r="F125" s="1726">
        <f t="shared" si="13"/>
        <v>0</v>
      </c>
      <c r="G125" s="1726">
        <f t="shared" si="13"/>
        <v>0</v>
      </c>
      <c r="H125" s="1726">
        <f t="shared" si="13"/>
        <v>0</v>
      </c>
      <c r="I125" s="1726">
        <f t="shared" si="13"/>
        <v>0</v>
      </c>
      <c r="J125" s="1726">
        <f t="shared" si="13"/>
        <v>0</v>
      </c>
      <c r="K125" s="1726">
        <f t="shared" si="13"/>
        <v>0</v>
      </c>
      <c r="L125" s="1726">
        <f t="shared" si="13"/>
        <v>0</v>
      </c>
      <c r="M125" s="1726">
        <f t="shared" si="13"/>
        <v>0</v>
      </c>
      <c r="N125" s="1726">
        <f t="shared" si="13"/>
        <v>0</v>
      </c>
      <c r="O125" s="1726">
        <f t="shared" si="13"/>
        <v>0</v>
      </c>
      <c r="P125" s="1726">
        <f t="shared" si="13"/>
        <v>0</v>
      </c>
      <c r="Q125" s="1726">
        <f t="shared" si="13"/>
        <v>0</v>
      </c>
      <c r="R125" s="1726">
        <f t="shared" si="13"/>
        <v>1.8753230115938857E-3</v>
      </c>
      <c r="S125" s="1726">
        <f t="shared" si="13"/>
        <v>4.0780573217799624E-3</v>
      </c>
      <c r="T125" s="1726">
        <f t="shared" si="13"/>
        <v>4.5894830782757618E-3</v>
      </c>
      <c r="U125" s="1726">
        <f t="shared" si="13"/>
        <v>5.1164111860750308E-3</v>
      </c>
      <c r="V125" s="1726">
        <f t="shared" si="13"/>
        <v>5.6505608089185665E-3</v>
      </c>
      <c r="W125" s="1726">
        <f t="shared" si="13"/>
        <v>6.1940255282123746E-3</v>
      </c>
      <c r="X125" s="1726">
        <f t="shared" si="13"/>
        <v>6.7617672902449445E-3</v>
      </c>
      <c r="Y125" s="1726">
        <f t="shared" si="13"/>
        <v>7.3712029898112784E-3</v>
      </c>
      <c r="Z125" s="1726">
        <f t="shared" si="13"/>
        <v>8.0255227198274427E-3</v>
      </c>
      <c r="AA125" s="1726">
        <f t="shared" si="13"/>
        <v>8.7063463510986799E-3</v>
      </c>
      <c r="AB125" s="1726">
        <f t="shared" si="13"/>
        <v>9.4095168544862957E-3</v>
      </c>
      <c r="AC125" s="1726">
        <f t="shared" si="13"/>
        <v>1.0125862023638018E-2</v>
      </c>
      <c r="AD125" s="1726">
        <f t="shared" si="13"/>
        <v>1.0862590748757582E-2</v>
      </c>
      <c r="AE125" s="1726">
        <f t="shared" si="13"/>
        <v>1.1614261245614783E-2</v>
      </c>
      <c r="AF125" s="1726">
        <f t="shared" si="13"/>
        <v>1.1157415618015915E-2</v>
      </c>
      <c r="AG125" s="1726">
        <f t="shared" si="13"/>
        <v>1.051162216761262E-2</v>
      </c>
      <c r="AH125" s="1726">
        <f t="shared" si="13"/>
        <v>9.7232261991208099E-3</v>
      </c>
      <c r="AI125" s="1726">
        <f t="shared" si="13"/>
        <v>8.6189697871591336E-3</v>
      </c>
      <c r="AJ125" s="1726">
        <f t="shared" si="13"/>
        <v>7.2492707389569941E-3</v>
      </c>
      <c r="AK125" s="1726">
        <f t="shared" si="13"/>
        <v>7.2401230781544415E-3</v>
      </c>
      <c r="AL125" s="1726">
        <f t="shared" si="13"/>
        <v>7.2024111144005087E-3</v>
      </c>
      <c r="AM125" s="1726"/>
    </row>
    <row r="126" spans="1:39" ht="15.75" customHeight="1" x14ac:dyDescent="0.25">
      <c r="A126" s="3"/>
      <c r="B126" s="3" t="str">
        <f t="shared" si="11"/>
        <v>Foam blowing agents</v>
      </c>
      <c r="C126" s="3" t="str">
        <f t="shared" si="11"/>
        <v>HFC</v>
      </c>
      <c r="D126" s="3" t="str">
        <f t="shared" si="11"/>
        <v>Other HFC</v>
      </c>
      <c r="E126" s="1728">
        <f t="shared" si="7"/>
        <v>1.0981515348160384</v>
      </c>
      <c r="F126" s="1726">
        <f t="shared" si="13"/>
        <v>0</v>
      </c>
      <c r="G126" s="1726">
        <f t="shared" si="13"/>
        <v>0</v>
      </c>
      <c r="H126" s="1726">
        <f t="shared" si="13"/>
        <v>0</v>
      </c>
      <c r="I126" s="1726">
        <f t="shared" si="13"/>
        <v>0</v>
      </c>
      <c r="J126" s="1726">
        <f t="shared" si="13"/>
        <v>0</v>
      </c>
      <c r="K126" s="1726">
        <f t="shared" si="13"/>
        <v>0</v>
      </c>
      <c r="L126" s="1726">
        <f t="shared" si="13"/>
        <v>0</v>
      </c>
      <c r="M126" s="1726">
        <f t="shared" si="13"/>
        <v>0</v>
      </c>
      <c r="N126" s="1726">
        <f t="shared" si="13"/>
        <v>0</v>
      </c>
      <c r="O126" s="1726">
        <f t="shared" si="13"/>
        <v>0</v>
      </c>
      <c r="P126" s="1726">
        <f t="shared" si="13"/>
        <v>0</v>
      </c>
      <c r="Q126" s="1726">
        <f t="shared" si="13"/>
        <v>0</v>
      </c>
      <c r="R126" s="1726">
        <f t="shared" si="13"/>
        <v>3.0120572678523335E-3</v>
      </c>
      <c r="S126" s="1726">
        <f t="shared" si="13"/>
        <v>6.5499874522127414E-3</v>
      </c>
      <c r="T126" s="1726">
        <f t="shared" si="13"/>
        <v>7.3714158980306074E-3</v>
      </c>
      <c r="U126" s="1726">
        <f t="shared" si="13"/>
        <v>8.2177435050189707E-3</v>
      </c>
      <c r="V126" s="1726">
        <f t="shared" si="13"/>
        <v>9.0756699761707447E-3</v>
      </c>
      <c r="W126" s="1726">
        <f t="shared" si="13"/>
        <v>9.9485579253134129E-3</v>
      </c>
      <c r="X126" s="1726">
        <f t="shared" si="13"/>
        <v>1.0860438540024189E-2</v>
      </c>
      <c r="Y126" s="1726">
        <f t="shared" si="13"/>
        <v>1.1839286032866107E-2</v>
      </c>
      <c r="Z126" s="1726">
        <f t="shared" si="13"/>
        <v>1.289022418384592E-2</v>
      </c>
      <c r="AA126" s="1726">
        <f t="shared" si="13"/>
        <v>1.3983731677764647E-2</v>
      </c>
      <c r="AB126" s="1726">
        <f t="shared" si="13"/>
        <v>1.5113131686282597E-2</v>
      </c>
      <c r="AC126" s="1726">
        <f t="shared" si="13"/>
        <v>1.6263692234889375E-2</v>
      </c>
      <c r="AD126" s="1726">
        <f t="shared" si="13"/>
        <v>1.7446991910312175E-2</v>
      </c>
      <c r="AE126" s="1726">
        <f t="shared" si="13"/>
        <v>1.8654290369879735E-2</v>
      </c>
      <c r="AF126" s="1726">
        <f t="shared" si="13"/>
        <v>1.7920526008013256E-2</v>
      </c>
      <c r="AG126" s="1726">
        <f t="shared" si="13"/>
        <v>1.6883282373827038E-2</v>
      </c>
      <c r="AH126" s="1726">
        <f t="shared" si="13"/>
        <v>1.5616997156741731E-2</v>
      </c>
      <c r="AI126" s="1726">
        <f t="shared" si="13"/>
        <v>1.3843391473529433E-2</v>
      </c>
      <c r="AJ126" s="1726">
        <f t="shared" si="13"/>
        <v>1.1643444079186308E-2</v>
      </c>
      <c r="AK126" s="1726">
        <f t="shared" si="13"/>
        <v>1.1628751528604977E-2</v>
      </c>
      <c r="AL126" s="1726">
        <f t="shared" si="13"/>
        <v>1.1568180312975589E-2</v>
      </c>
      <c r="AM126" s="1726"/>
    </row>
    <row r="127" spans="1:39" ht="15.75" customHeight="1" x14ac:dyDescent="0.25">
      <c r="A127" s="3"/>
      <c r="B127" s="3" t="str">
        <f t="shared" si="11"/>
        <v>Foam blowing agents</v>
      </c>
      <c r="C127" s="3" t="str">
        <f t="shared" si="11"/>
        <v>HFC</v>
      </c>
      <c r="D127" s="3" t="str">
        <f t="shared" si="11"/>
        <v>Other HFC</v>
      </c>
      <c r="E127" s="1728">
        <f t="shared" si="7"/>
        <v>1.0981515348160384</v>
      </c>
      <c r="F127" s="1726">
        <f t="shared" si="13"/>
        <v>0</v>
      </c>
      <c r="G127" s="1726">
        <f t="shared" si="13"/>
        <v>0</v>
      </c>
      <c r="H127" s="1726">
        <f t="shared" si="13"/>
        <v>0</v>
      </c>
      <c r="I127" s="1726">
        <f t="shared" si="13"/>
        <v>0</v>
      </c>
      <c r="J127" s="1726">
        <f t="shared" si="13"/>
        <v>0</v>
      </c>
      <c r="K127" s="1726">
        <f t="shared" si="13"/>
        <v>0</v>
      </c>
      <c r="L127" s="1726">
        <f t="shared" si="13"/>
        <v>0</v>
      </c>
      <c r="M127" s="1726">
        <f t="shared" si="13"/>
        <v>0</v>
      </c>
      <c r="N127" s="1726">
        <f t="shared" si="13"/>
        <v>0</v>
      </c>
      <c r="O127" s="1726">
        <f t="shared" si="13"/>
        <v>0</v>
      </c>
      <c r="P127" s="1726">
        <f t="shared" si="13"/>
        <v>0</v>
      </c>
      <c r="Q127" s="1726">
        <f t="shared" si="13"/>
        <v>7.8681285112785723E-4</v>
      </c>
      <c r="R127" s="1726">
        <f t="shared" si="13"/>
        <v>1.0193397072936428E-2</v>
      </c>
      <c r="S127" s="1726">
        <f t="shared" si="13"/>
        <v>2.1458799873337313E-2</v>
      </c>
      <c r="T127" s="1726">
        <f t="shared" si="13"/>
        <v>2.4523301489443042E-2</v>
      </c>
      <c r="U127" s="1726">
        <f t="shared" si="13"/>
        <v>2.7660530177538348E-2</v>
      </c>
      <c r="V127" s="1726">
        <f t="shared" si="13"/>
        <v>3.0886064364928918E-2</v>
      </c>
      <c r="W127" s="1726">
        <f t="shared" si="13"/>
        <v>3.4122212098837271E-2</v>
      </c>
      <c r="X127" s="1726">
        <f t="shared" si="13"/>
        <v>3.7170699080836762E-2</v>
      </c>
      <c r="Y127" s="1726">
        <f t="shared" si="13"/>
        <v>4.0674428174255886E-2</v>
      </c>
      <c r="Z127" s="1726">
        <f t="shared" si="13"/>
        <v>4.4869141885924689E-2</v>
      </c>
      <c r="AA127" s="1726">
        <f t="shared" si="13"/>
        <v>4.9446320111651662E-2</v>
      </c>
      <c r="AB127" s="1726">
        <f t="shared" si="13"/>
        <v>5.3783662762857731E-2</v>
      </c>
      <c r="AC127" s="1726">
        <f t="shared" si="13"/>
        <v>5.8091461935890237E-2</v>
      </c>
      <c r="AD127" s="1726">
        <f t="shared" si="13"/>
        <v>6.2545003660145371E-2</v>
      </c>
      <c r="AE127" s="1726">
        <f t="shared" si="13"/>
        <v>8.0449883505061298E-2</v>
      </c>
      <c r="AF127" s="1726">
        <f t="shared" si="13"/>
        <v>9.5203069659097653E-2</v>
      </c>
      <c r="AG127" s="1726">
        <f t="shared" si="13"/>
        <v>0.11232449878897778</v>
      </c>
      <c r="AH127" s="1726">
        <f t="shared" si="13"/>
        <v>0.11836329670611226</v>
      </c>
      <c r="AI127" s="1726">
        <f t="shared" si="13"/>
        <v>0.11944378705285141</v>
      </c>
      <c r="AJ127" s="1726">
        <f t="shared" si="13"/>
        <v>0.11780309977056137</v>
      </c>
      <c r="AK127" s="1726">
        <f t="shared" si="13"/>
        <v>0.12210636356158981</v>
      </c>
      <c r="AL127" s="1726">
        <f t="shared" si="13"/>
        <v>0.13483083704302787</v>
      </c>
      <c r="AM127" s="1726"/>
    </row>
    <row r="128" spans="1:39" ht="15.75" customHeight="1" x14ac:dyDescent="0.25">
      <c r="A128" s="3"/>
      <c r="B128" s="3" t="str">
        <f t="shared" si="11"/>
        <v>Metered does inhalers</v>
      </c>
      <c r="C128" s="3" t="str">
        <f t="shared" si="11"/>
        <v>HFC</v>
      </c>
      <c r="D128" s="3" t="str">
        <f t="shared" si="11"/>
        <v>Other HFC</v>
      </c>
      <c r="E128" s="1728">
        <f t="shared" si="7"/>
        <v>1.0981515348160384</v>
      </c>
      <c r="F128" s="1726">
        <f t="shared" si="13"/>
        <v>0</v>
      </c>
      <c r="G128" s="1726">
        <f t="shared" si="13"/>
        <v>0</v>
      </c>
      <c r="H128" s="1726">
        <f t="shared" si="13"/>
        <v>0</v>
      </c>
      <c r="I128" s="1726">
        <f t="shared" si="13"/>
        <v>0</v>
      </c>
      <c r="J128" s="1726">
        <f t="shared" si="13"/>
        <v>0</v>
      </c>
      <c r="K128" s="1726">
        <f t="shared" si="13"/>
        <v>0</v>
      </c>
      <c r="L128" s="1726">
        <f t="shared" si="13"/>
        <v>0</v>
      </c>
      <c r="M128" s="1726">
        <f t="shared" si="13"/>
        <v>0</v>
      </c>
      <c r="N128" s="1726">
        <f t="shared" si="13"/>
        <v>0</v>
      </c>
      <c r="O128" s="1726">
        <f t="shared" si="13"/>
        <v>0</v>
      </c>
      <c r="P128" s="1726">
        <f t="shared" si="13"/>
        <v>0</v>
      </c>
      <c r="Q128" s="1726">
        <f t="shared" si="13"/>
        <v>0</v>
      </c>
      <c r="R128" s="1726">
        <f t="shared" si="13"/>
        <v>0</v>
      </c>
      <c r="S128" s="1726">
        <f t="shared" si="13"/>
        <v>0</v>
      </c>
      <c r="T128" s="1726">
        <f t="shared" si="13"/>
        <v>0</v>
      </c>
      <c r="U128" s="1726">
        <f t="shared" si="13"/>
        <v>0</v>
      </c>
      <c r="V128" s="1726">
        <f t="shared" si="13"/>
        <v>0</v>
      </c>
      <c r="W128" s="1726">
        <f t="shared" si="13"/>
        <v>1.2087624222509141E-3</v>
      </c>
      <c r="X128" s="1726">
        <f t="shared" si="13"/>
        <v>2.432380694579244E-3</v>
      </c>
      <c r="Y128" s="1726">
        <f t="shared" si="13"/>
        <v>3.6778511559100546E-3</v>
      </c>
      <c r="Z128" s="1726">
        <f t="shared" si="13"/>
        <v>4.9551713560528664E-3</v>
      </c>
      <c r="AA128" s="1726">
        <f t="shared" si="13"/>
        <v>6.249984144400862E-3</v>
      </c>
      <c r="AB128" s="1726">
        <f t="shared" si="13"/>
        <v>7.5632005260498356E-3</v>
      </c>
      <c r="AC128" s="1726">
        <f t="shared" si="13"/>
        <v>8.8802559437264617E-3</v>
      </c>
      <c r="AD128" s="1726">
        <f t="shared" si="13"/>
        <v>8.9342924666045813E-3</v>
      </c>
      <c r="AE128" s="1726">
        <f t="shared" si="13"/>
        <v>8.3855742240733916E-3</v>
      </c>
      <c r="AF128" s="1726">
        <f t="shared" si="13"/>
        <v>1.0252989073753379E-2</v>
      </c>
      <c r="AG128" s="1726">
        <f t="shared" si="13"/>
        <v>1.2085564636173369E-2</v>
      </c>
      <c r="AH128" s="1726">
        <f t="shared" si="13"/>
        <v>1.3770344511282942E-2</v>
      </c>
      <c r="AI128" s="1726">
        <f t="shared" si="13"/>
        <v>1.3924112264397173E-2</v>
      </c>
      <c r="AJ128" s="1726">
        <f t="shared" si="13"/>
        <v>1.4248693027350235E-2</v>
      </c>
      <c r="AK128" s="1726">
        <f t="shared" si="13"/>
        <v>1.4424254469010462E-2</v>
      </c>
      <c r="AL128" s="1726">
        <f t="shared" si="13"/>
        <v>8.7279553913826944E-3</v>
      </c>
      <c r="AM128" s="1726"/>
    </row>
    <row r="129" spans="1:39" ht="15.75" customHeight="1" x14ac:dyDescent="0.25">
      <c r="A129" s="3"/>
      <c r="B129" s="3" t="str">
        <f t="shared" si="11"/>
        <v>Other Aerosols</v>
      </c>
      <c r="C129" s="3" t="str">
        <f t="shared" si="11"/>
        <v>HFC</v>
      </c>
      <c r="D129" s="3" t="str">
        <f t="shared" si="11"/>
        <v>Other HFC</v>
      </c>
      <c r="E129" s="1728">
        <f t="shared" si="7"/>
        <v>1.0981515348160384</v>
      </c>
      <c r="F129" s="1726">
        <f t="shared" si="13"/>
        <v>0</v>
      </c>
      <c r="G129" s="1726">
        <f t="shared" si="13"/>
        <v>0</v>
      </c>
      <c r="H129" s="1726">
        <f t="shared" si="13"/>
        <v>0</v>
      </c>
      <c r="I129" s="1726">
        <f t="shared" si="13"/>
        <v>0</v>
      </c>
      <c r="J129" s="1726">
        <f t="shared" si="13"/>
        <v>0</v>
      </c>
      <c r="K129" s="1726">
        <f t="shared" si="13"/>
        <v>0</v>
      </c>
      <c r="L129" s="1726">
        <f t="shared" si="13"/>
        <v>0</v>
      </c>
      <c r="M129" s="1726">
        <f t="shared" si="13"/>
        <v>0</v>
      </c>
      <c r="N129" s="1726">
        <f t="shared" si="13"/>
        <v>0</v>
      </c>
      <c r="O129" s="1726">
        <f t="shared" si="13"/>
        <v>0</v>
      </c>
      <c r="P129" s="1726">
        <f t="shared" si="13"/>
        <v>0</v>
      </c>
      <c r="Q129" s="1726">
        <f t="shared" si="13"/>
        <v>0</v>
      </c>
      <c r="R129" s="1726">
        <f t="shared" si="13"/>
        <v>0</v>
      </c>
      <c r="S129" s="1726">
        <f t="shared" si="13"/>
        <v>0</v>
      </c>
      <c r="T129" s="1726">
        <f t="shared" si="13"/>
        <v>0</v>
      </c>
      <c r="U129" s="1726">
        <f t="shared" si="13"/>
        <v>0</v>
      </c>
      <c r="V129" s="1726">
        <f t="shared" si="13"/>
        <v>0</v>
      </c>
      <c r="W129" s="1726">
        <f t="shared" si="13"/>
        <v>0</v>
      </c>
      <c r="X129" s="1726">
        <f t="shared" si="13"/>
        <v>0</v>
      </c>
      <c r="Y129" s="1726">
        <f t="shared" si="13"/>
        <v>0</v>
      </c>
      <c r="Z129" s="1726">
        <f t="shared" si="13"/>
        <v>0</v>
      </c>
      <c r="AA129" s="1726">
        <f t="shared" si="13"/>
        <v>0</v>
      </c>
      <c r="AB129" s="1726">
        <f t="shared" si="13"/>
        <v>1.6730651901343778E-6</v>
      </c>
      <c r="AC129" s="1726">
        <f t="shared" si="13"/>
        <v>3.5401230500091604E-6</v>
      </c>
      <c r="AD129" s="1726">
        <f t="shared" ref="AD129:AL129" si="14">AD39*$E129</f>
        <v>5.5964788731395712E-6</v>
      </c>
      <c r="AE129" s="1726">
        <f t="shared" si="14"/>
        <v>7.8342415988806261E-6</v>
      </c>
      <c r="AF129" s="1726">
        <f t="shared" si="14"/>
        <v>3.4022137366306413E-5</v>
      </c>
      <c r="AG129" s="1726">
        <f t="shared" si="14"/>
        <v>5.9108984329394771E-5</v>
      </c>
      <c r="AH129" s="1726">
        <f t="shared" si="14"/>
        <v>8.506182916155237E-5</v>
      </c>
      <c r="AI129" s="1726">
        <f t="shared" si="14"/>
        <v>8.6556443055004132E-5</v>
      </c>
      <c r="AJ129" s="1726">
        <f t="shared" si="14"/>
        <v>8.9133883100124279E-5</v>
      </c>
      <c r="AK129" s="1726">
        <f t="shared" si="14"/>
        <v>9.080208607327343E-5</v>
      </c>
      <c r="AL129" s="1726">
        <f t="shared" si="14"/>
        <v>9.2135490460673903E-5</v>
      </c>
      <c r="AM129" s="1726"/>
    </row>
    <row r="130" spans="1:39" ht="15.75" customHeight="1" x14ac:dyDescent="0.25">
      <c r="A130" s="3"/>
      <c r="B130" s="3" t="str">
        <f t="shared" si="11"/>
        <v>Other Aerosols</v>
      </c>
      <c r="C130" s="3" t="str">
        <f t="shared" si="11"/>
        <v>HFC</v>
      </c>
      <c r="D130" s="3" t="str">
        <f t="shared" si="11"/>
        <v>Other HFC</v>
      </c>
      <c r="E130" s="1728">
        <f t="shared" si="7"/>
        <v>1.0981515348160384</v>
      </c>
      <c r="F130" s="1726">
        <f t="shared" ref="F130:AL137" si="15">F40*$E130</f>
        <v>4.7932913787858741E-3</v>
      </c>
      <c r="G130" s="1726">
        <f t="shared" si="15"/>
        <v>1.0507517401233844E-2</v>
      </c>
      <c r="H130" s="1726">
        <f t="shared" si="15"/>
        <v>1.04822675048025E-2</v>
      </c>
      <c r="I130" s="1726">
        <f t="shared" si="15"/>
        <v>1.0447719122476235E-2</v>
      </c>
      <c r="J130" s="1726">
        <f t="shared" si="15"/>
        <v>1.1099790968463677E-2</v>
      </c>
      <c r="K130" s="1726">
        <f t="shared" si="15"/>
        <v>1.1552892740490275E-2</v>
      </c>
      <c r="L130" s="1726">
        <f t="shared" si="15"/>
        <v>1.3241436583176299E-2</v>
      </c>
      <c r="M130" s="1726">
        <f t="shared" si="15"/>
        <v>2.1352995808661564E-2</v>
      </c>
      <c r="N130" s="1726">
        <f t="shared" si="15"/>
        <v>3.3036814923744627E-2</v>
      </c>
      <c r="O130" s="1726">
        <f t="shared" si="15"/>
        <v>3.3916627994142717E-2</v>
      </c>
      <c r="P130" s="1726">
        <f t="shared" si="15"/>
        <v>3.4307325766276257E-2</v>
      </c>
      <c r="Q130" s="1726">
        <f t="shared" si="15"/>
        <v>3.7239424033332282E-2</v>
      </c>
      <c r="R130" s="1726">
        <f t="shared" si="15"/>
        <v>4.0171070051689774E-2</v>
      </c>
      <c r="S130" s="1726">
        <f t="shared" si="15"/>
        <v>4.3311781974335072E-2</v>
      </c>
      <c r="T130" s="1726">
        <f t="shared" si="15"/>
        <v>4.6322813545304257E-2</v>
      </c>
      <c r="U130" s="1726">
        <f t="shared" si="15"/>
        <v>4.9546952099043508E-2</v>
      </c>
      <c r="V130" s="1726">
        <f t="shared" si="15"/>
        <v>5.0569884698024786E-2</v>
      </c>
      <c r="W130" s="1726">
        <f t="shared" si="15"/>
        <v>5.1859746885065644E-2</v>
      </c>
      <c r="X130" s="1726">
        <f t="shared" si="15"/>
        <v>5.271086748703499E-2</v>
      </c>
      <c r="Y130" s="1726">
        <f t="shared" si="15"/>
        <v>5.6865291659907599E-2</v>
      </c>
      <c r="Z130" s="1726">
        <f t="shared" si="15"/>
        <v>6.1199957656589886E-2</v>
      </c>
      <c r="AA130" s="1726">
        <f t="shared" si="15"/>
        <v>6.5367344662058208E-2</v>
      </c>
      <c r="AB130" s="1726">
        <f t="shared" si="15"/>
        <v>6.9500188996119067E-2</v>
      </c>
      <c r="AC130" s="1726">
        <f t="shared" si="15"/>
        <v>7.3525657350279966E-2</v>
      </c>
      <c r="AD130" s="1726">
        <f t="shared" si="15"/>
        <v>7.7491779658696039E-2</v>
      </c>
      <c r="AE130" s="1726">
        <f t="shared" si="15"/>
        <v>8.1356834739974668E-2</v>
      </c>
      <c r="AF130" s="1726">
        <f t="shared" si="15"/>
        <v>8.2663207960127827E-2</v>
      </c>
      <c r="AG130" s="1726">
        <f t="shared" si="15"/>
        <v>8.4107226679003097E-2</v>
      </c>
      <c r="AH130" s="1726">
        <f t="shared" si="15"/>
        <v>8.55761172990607E-2</v>
      </c>
      <c r="AI130" s="1726">
        <f t="shared" si="15"/>
        <v>8.7079699159283444E-2</v>
      </c>
      <c r="AJ130" s="1726">
        <f t="shared" si="15"/>
        <v>8.9672910816640722E-2</v>
      </c>
      <c r="AK130" s="1726">
        <f t="shared" si="15"/>
        <v>9.1350948396325252E-2</v>
      </c>
      <c r="AL130" s="1726">
        <f t="shared" si="15"/>
        <v>9.2692623096045312E-2</v>
      </c>
      <c r="AM130" s="1726"/>
    </row>
    <row r="131" spans="1:39" ht="15.75" customHeight="1" x14ac:dyDescent="0.25">
      <c r="A131" s="3"/>
      <c r="B131" s="3" t="str">
        <f t="shared" si="11"/>
        <v>Refrigeration and air-conditioning</v>
      </c>
      <c r="C131" s="3" t="str">
        <f t="shared" si="11"/>
        <v>HFC</v>
      </c>
      <c r="D131" s="3" t="str">
        <f t="shared" si="11"/>
        <v>Other HFC</v>
      </c>
      <c r="E131" s="1728">
        <f t="shared" si="7"/>
        <v>1.0981515348160384</v>
      </c>
      <c r="F131" s="1726">
        <f t="shared" si="15"/>
        <v>0</v>
      </c>
      <c r="G131" s="1726">
        <f t="shared" si="15"/>
        <v>0</v>
      </c>
      <c r="H131" s="1726">
        <f t="shared" si="15"/>
        <v>0</v>
      </c>
      <c r="I131" s="1726">
        <f t="shared" si="15"/>
        <v>0</v>
      </c>
      <c r="J131" s="1726">
        <f t="shared" si="15"/>
        <v>0</v>
      </c>
      <c r="K131" s="1726">
        <f t="shared" si="15"/>
        <v>0</v>
      </c>
      <c r="L131" s="1726">
        <f t="shared" si="15"/>
        <v>0</v>
      </c>
      <c r="M131" s="1726">
        <f t="shared" si="15"/>
        <v>0</v>
      </c>
      <c r="N131" s="1726">
        <f t="shared" si="15"/>
        <v>0</v>
      </c>
      <c r="O131" s="1726">
        <f t="shared" si="15"/>
        <v>0</v>
      </c>
      <c r="P131" s="1726">
        <f t="shared" si="15"/>
        <v>0</v>
      </c>
      <c r="Q131" s="1726">
        <f t="shared" si="15"/>
        <v>0</v>
      </c>
      <c r="R131" s="1726">
        <f t="shared" si="15"/>
        <v>0</v>
      </c>
      <c r="S131" s="1726">
        <f t="shared" si="15"/>
        <v>0</v>
      </c>
      <c r="T131" s="1726">
        <f t="shared" si="15"/>
        <v>0</v>
      </c>
      <c r="U131" s="1726">
        <f t="shared" si="15"/>
        <v>0</v>
      </c>
      <c r="V131" s="1726">
        <f t="shared" si="15"/>
        <v>0</v>
      </c>
      <c r="W131" s="1726">
        <f t="shared" si="15"/>
        <v>0</v>
      </c>
      <c r="X131" s="1726">
        <f t="shared" si="15"/>
        <v>0</v>
      </c>
      <c r="Y131" s="1726">
        <f t="shared" si="15"/>
        <v>0</v>
      </c>
      <c r="Z131" s="1726">
        <f t="shared" si="15"/>
        <v>0</v>
      </c>
      <c r="AA131" s="1726">
        <f t="shared" si="15"/>
        <v>0</v>
      </c>
      <c r="AB131" s="1726">
        <f t="shared" si="15"/>
        <v>0</v>
      </c>
      <c r="AC131" s="1726">
        <f t="shared" si="15"/>
        <v>0</v>
      </c>
      <c r="AD131" s="1726">
        <f t="shared" si="15"/>
        <v>0</v>
      </c>
      <c r="AE131" s="1726">
        <f t="shared" si="15"/>
        <v>0</v>
      </c>
      <c r="AF131" s="1726">
        <f t="shared" si="15"/>
        <v>2.0181956830591605E-9</v>
      </c>
      <c r="AG131" s="1726">
        <f t="shared" si="15"/>
        <v>3.6841323434497051E-8</v>
      </c>
      <c r="AH131" s="1726">
        <f t="shared" si="15"/>
        <v>1.6788413219601152E-7</v>
      </c>
      <c r="AI131" s="1726">
        <f t="shared" si="15"/>
        <v>3.8284950440254999E-7</v>
      </c>
      <c r="AJ131" s="1726">
        <f t="shared" si="15"/>
        <v>6.9233852941701478E-7</v>
      </c>
      <c r="AK131" s="1726">
        <f t="shared" si="15"/>
        <v>9.8194881992374261E-7</v>
      </c>
      <c r="AL131" s="1726">
        <f t="shared" si="15"/>
        <v>1.2706278543199038E-6</v>
      </c>
      <c r="AM131" s="1726"/>
    </row>
    <row r="132" spans="1:39" ht="15.75" customHeight="1" x14ac:dyDescent="0.25">
      <c r="A132" s="3"/>
      <c r="B132" s="3" t="str">
        <f t="shared" si="11"/>
        <v>Refrigeration and air-conditioning</v>
      </c>
      <c r="C132" s="3" t="str">
        <f t="shared" si="11"/>
        <v>HFC</v>
      </c>
      <c r="D132" s="3" t="str">
        <f t="shared" si="11"/>
        <v>Other HFC</v>
      </c>
      <c r="E132" s="1728">
        <f t="shared" si="7"/>
        <v>1.0981515348160384</v>
      </c>
      <c r="F132" s="1726">
        <f t="shared" si="15"/>
        <v>0</v>
      </c>
      <c r="G132" s="1726">
        <f t="shared" si="15"/>
        <v>0</v>
      </c>
      <c r="H132" s="1726">
        <f t="shared" si="15"/>
        <v>0</v>
      </c>
      <c r="I132" s="1726">
        <f t="shared" si="15"/>
        <v>0</v>
      </c>
      <c r="J132" s="1726">
        <f t="shared" si="15"/>
        <v>0</v>
      </c>
      <c r="K132" s="1726">
        <f t="shared" si="15"/>
        <v>0</v>
      </c>
      <c r="L132" s="1726">
        <f t="shared" si="15"/>
        <v>0</v>
      </c>
      <c r="M132" s="1726">
        <f t="shared" si="15"/>
        <v>0</v>
      </c>
      <c r="N132" s="1726">
        <f t="shared" si="15"/>
        <v>0</v>
      </c>
      <c r="O132" s="1726">
        <f t="shared" si="15"/>
        <v>0</v>
      </c>
      <c r="P132" s="1726">
        <f t="shared" si="15"/>
        <v>0</v>
      </c>
      <c r="Q132" s="1726">
        <f t="shared" si="15"/>
        <v>0</v>
      </c>
      <c r="R132" s="1726">
        <f t="shared" si="15"/>
        <v>0</v>
      </c>
      <c r="S132" s="1726">
        <f t="shared" si="15"/>
        <v>0</v>
      </c>
      <c r="T132" s="1726">
        <f t="shared" si="15"/>
        <v>0</v>
      </c>
      <c r="U132" s="1726">
        <f t="shared" si="15"/>
        <v>0</v>
      </c>
      <c r="V132" s="1726">
        <f t="shared" si="15"/>
        <v>0</v>
      </c>
      <c r="W132" s="1726">
        <f t="shared" si="15"/>
        <v>0</v>
      </c>
      <c r="X132" s="1726">
        <f t="shared" si="15"/>
        <v>0</v>
      </c>
      <c r="Y132" s="1726">
        <f t="shared" si="15"/>
        <v>0</v>
      </c>
      <c r="Z132" s="1726">
        <f t="shared" si="15"/>
        <v>0</v>
      </c>
      <c r="AA132" s="1726">
        <f t="shared" si="15"/>
        <v>0</v>
      </c>
      <c r="AB132" s="1726">
        <f t="shared" si="15"/>
        <v>0</v>
      </c>
      <c r="AC132" s="1726">
        <f t="shared" si="15"/>
        <v>0</v>
      </c>
      <c r="AD132" s="1726">
        <f t="shared" si="15"/>
        <v>0</v>
      </c>
      <c r="AE132" s="1726">
        <f t="shared" si="15"/>
        <v>0</v>
      </c>
      <c r="AF132" s="1726">
        <f t="shared" si="15"/>
        <v>3.1604944396706465E-9</v>
      </c>
      <c r="AG132" s="1726">
        <f t="shared" si="15"/>
        <v>1.4595606278694184E-8</v>
      </c>
      <c r="AH132" s="1726">
        <f t="shared" si="15"/>
        <v>1.1880412991287131E-7</v>
      </c>
      <c r="AI132" s="1726">
        <f t="shared" si="15"/>
        <v>3.0392160317310333E-7</v>
      </c>
      <c r="AJ132" s="1726">
        <f t="shared" si="15"/>
        <v>5.7574734569012503E-7</v>
      </c>
      <c r="AK132" s="1726">
        <f t="shared" si="15"/>
        <v>9.3530978607391876E-7</v>
      </c>
      <c r="AL132" s="1726">
        <f t="shared" si="15"/>
        <v>1.3674672601394128E-6</v>
      </c>
      <c r="AM132" s="1726"/>
    </row>
    <row r="133" spans="1:39" ht="15.75" customHeight="1" x14ac:dyDescent="0.25">
      <c r="A133" s="3"/>
      <c r="B133" s="3" t="str">
        <f t="shared" si="11"/>
        <v>Refrigeration and air-conditioning</v>
      </c>
      <c r="C133" s="3" t="str">
        <f t="shared" si="11"/>
        <v>HFC</v>
      </c>
      <c r="D133" s="3" t="str">
        <f t="shared" si="11"/>
        <v>Other HFC</v>
      </c>
      <c r="E133" s="1728">
        <f t="shared" si="7"/>
        <v>1.0981515348160384</v>
      </c>
      <c r="F133" s="1726">
        <f t="shared" si="15"/>
        <v>0</v>
      </c>
      <c r="G133" s="1726">
        <f t="shared" si="15"/>
        <v>0</v>
      </c>
      <c r="H133" s="1726">
        <f t="shared" si="15"/>
        <v>0</v>
      </c>
      <c r="I133" s="1726">
        <f t="shared" si="15"/>
        <v>0</v>
      </c>
      <c r="J133" s="1726">
        <f t="shared" si="15"/>
        <v>0</v>
      </c>
      <c r="K133" s="1726">
        <f t="shared" si="15"/>
        <v>0</v>
      </c>
      <c r="L133" s="1726">
        <f t="shared" si="15"/>
        <v>0</v>
      </c>
      <c r="M133" s="1726">
        <f t="shared" si="15"/>
        <v>0</v>
      </c>
      <c r="N133" s="1726">
        <f t="shared" si="15"/>
        <v>0</v>
      </c>
      <c r="O133" s="1726">
        <f t="shared" si="15"/>
        <v>0</v>
      </c>
      <c r="P133" s="1726">
        <f t="shared" si="15"/>
        <v>0</v>
      </c>
      <c r="Q133" s="1726">
        <f t="shared" si="15"/>
        <v>0</v>
      </c>
      <c r="R133" s="1726">
        <f t="shared" si="15"/>
        <v>0</v>
      </c>
      <c r="S133" s="1726">
        <f t="shared" si="15"/>
        <v>0</v>
      </c>
      <c r="T133" s="1726">
        <f t="shared" si="15"/>
        <v>0</v>
      </c>
      <c r="U133" s="1726">
        <f t="shared" si="15"/>
        <v>0</v>
      </c>
      <c r="V133" s="1726">
        <f t="shared" si="15"/>
        <v>0</v>
      </c>
      <c r="W133" s="1726">
        <f t="shared" si="15"/>
        <v>0</v>
      </c>
      <c r="X133" s="1726">
        <f t="shared" si="15"/>
        <v>0</v>
      </c>
      <c r="Y133" s="1726">
        <f t="shared" si="15"/>
        <v>0</v>
      </c>
      <c r="Z133" s="1726">
        <f t="shared" si="15"/>
        <v>0</v>
      </c>
      <c r="AA133" s="1726">
        <f t="shared" si="15"/>
        <v>0</v>
      </c>
      <c r="AB133" s="1726">
        <f t="shared" si="15"/>
        <v>3.9461963147242475E-8</v>
      </c>
      <c r="AC133" s="1726">
        <f t="shared" si="15"/>
        <v>1.1873603613630537E-7</v>
      </c>
      <c r="AD133" s="1726">
        <f t="shared" si="15"/>
        <v>2.3861035146191792E-7</v>
      </c>
      <c r="AE133" s="1726">
        <f t="shared" si="15"/>
        <v>3.9953254455861679E-7</v>
      </c>
      <c r="AF133" s="1726">
        <f t="shared" si="15"/>
        <v>3.2707121423138724E-6</v>
      </c>
      <c r="AG133" s="1726">
        <f t="shared" si="15"/>
        <v>8.8725784633999146E-6</v>
      </c>
      <c r="AH133" s="1726">
        <f t="shared" si="15"/>
        <v>1.7341547255152221E-5</v>
      </c>
      <c r="AI133" s="1726">
        <f t="shared" si="15"/>
        <v>2.8724376721488912E-5</v>
      </c>
      <c r="AJ133" s="1726">
        <f t="shared" si="15"/>
        <v>4.3592213850155803E-5</v>
      </c>
      <c r="AK133" s="1726">
        <f t="shared" si="15"/>
        <v>6.1147170705910144E-5</v>
      </c>
      <c r="AL133" s="1726">
        <f t="shared" si="15"/>
        <v>7.8726749035898253E-5</v>
      </c>
      <c r="AM133" s="1726"/>
    </row>
    <row r="134" spans="1:39" ht="15.75" customHeight="1" x14ac:dyDescent="0.25">
      <c r="A134" s="3"/>
      <c r="B134" s="3" t="str">
        <f t="shared" si="11"/>
        <v>Refrigeration and air-conditioning</v>
      </c>
      <c r="C134" s="3" t="str">
        <f t="shared" si="11"/>
        <v>HFC</v>
      </c>
      <c r="D134" s="3" t="str">
        <f t="shared" si="11"/>
        <v>Other HFC</v>
      </c>
      <c r="E134" s="1728">
        <f t="shared" si="7"/>
        <v>1.0981515348160384</v>
      </c>
      <c r="F134" s="1726">
        <f t="shared" si="15"/>
        <v>3.1880475436748109E-4</v>
      </c>
      <c r="G134" s="1726">
        <f t="shared" si="15"/>
        <v>3.2672172683532162E-4</v>
      </c>
      <c r="H134" s="1726">
        <f t="shared" si="15"/>
        <v>3.3021211063908245E-4</v>
      </c>
      <c r="I134" s="1726">
        <f t="shared" si="15"/>
        <v>4.4210694242231439E-4</v>
      </c>
      <c r="J134" s="1726">
        <f t="shared" si="15"/>
        <v>5.3574010733982219E-4</v>
      </c>
      <c r="K134" s="1726">
        <f t="shared" si="15"/>
        <v>6.1393318888522419E-4</v>
      </c>
      <c r="L134" s="1726">
        <f t="shared" si="15"/>
        <v>6.6843745768559377E-4</v>
      </c>
      <c r="M134" s="1726">
        <f t="shared" si="15"/>
        <v>7.0720078056476143E-4</v>
      </c>
      <c r="N134" s="1726">
        <f t="shared" si="15"/>
        <v>6.5520821822645785E-4</v>
      </c>
      <c r="O134" s="1726">
        <f t="shared" si="15"/>
        <v>5.9957972158250755E-4</v>
      </c>
      <c r="P134" s="1726">
        <f t="shared" si="15"/>
        <v>5.4532963048725105E-4</v>
      </c>
      <c r="Q134" s="1726">
        <f t="shared" si="15"/>
        <v>4.9300432708168467E-4</v>
      </c>
      <c r="R134" s="1726">
        <f t="shared" si="15"/>
        <v>4.4142595047787925E-4</v>
      </c>
      <c r="S134" s="1726">
        <f t="shared" si="15"/>
        <v>3.8962958995993014E-4</v>
      </c>
      <c r="T134" s="1726">
        <f t="shared" si="15"/>
        <v>3.3669899325850091E-4</v>
      </c>
      <c r="U134" s="1726">
        <f t="shared" si="15"/>
        <v>2.9039771031735595E-4</v>
      </c>
      <c r="V134" s="1726">
        <f t="shared" si="15"/>
        <v>2.4722379565705004E-4</v>
      </c>
      <c r="W134" s="1726">
        <f t="shared" si="15"/>
        <v>2.0273677009295668E-4</v>
      </c>
      <c r="X134" s="1726">
        <f t="shared" si="15"/>
        <v>1.64312190401841E-4</v>
      </c>
      <c r="Y134" s="1726">
        <f t="shared" si="15"/>
        <v>1.3953674258380177E-4</v>
      </c>
      <c r="Z134" s="1726">
        <f t="shared" si="15"/>
        <v>1.2179003590024538E-4</v>
      </c>
      <c r="AA134" s="1726">
        <f t="shared" si="15"/>
        <v>1.1103589958241942E-4</v>
      </c>
      <c r="AB134" s="1726">
        <f t="shared" si="15"/>
        <v>1.0426900677180668E-4</v>
      </c>
      <c r="AC134" s="1726">
        <f t="shared" si="15"/>
        <v>9.5304833483573793E-5</v>
      </c>
      <c r="AD134" s="1726">
        <f t="shared" si="15"/>
        <v>8.5835624616892612E-5</v>
      </c>
      <c r="AE134" s="1726">
        <f t="shared" si="15"/>
        <v>7.4696568062191149E-5</v>
      </c>
      <c r="AF134" s="1726">
        <f t="shared" si="15"/>
        <v>6.3082463954375938E-5</v>
      </c>
      <c r="AG134" s="1726">
        <f t="shared" si="15"/>
        <v>5.1000217094210277E-5</v>
      </c>
      <c r="AH134" s="1726">
        <f t="shared" si="15"/>
        <v>3.8091146410250282E-5</v>
      </c>
      <c r="AI134" s="1726">
        <f t="shared" si="15"/>
        <v>2.4260157370814644E-5</v>
      </c>
      <c r="AJ134" s="1726">
        <f t="shared" si="15"/>
        <v>1.2449581679833548E-5</v>
      </c>
      <c r="AK134" s="1726">
        <f t="shared" si="15"/>
        <v>5.0482027213327919E-6</v>
      </c>
      <c r="AL134" s="1726">
        <f t="shared" si="15"/>
        <v>3.7781475192805661E-6</v>
      </c>
      <c r="AM134" s="1726"/>
    </row>
    <row r="135" spans="1:39" ht="15.75" customHeight="1" x14ac:dyDescent="0.25">
      <c r="A135" s="3"/>
      <c r="B135" s="3" t="str">
        <f t="shared" si="11"/>
        <v>Refrigeration and air-conditioning</v>
      </c>
      <c r="C135" s="3" t="str">
        <f t="shared" si="11"/>
        <v>HFC</v>
      </c>
      <c r="D135" s="3" t="str">
        <f t="shared" si="11"/>
        <v>Other HFC</v>
      </c>
      <c r="E135" s="1728">
        <f t="shared" si="7"/>
        <v>1.0981515348160384</v>
      </c>
      <c r="F135" s="1726">
        <f t="shared" si="15"/>
        <v>0</v>
      </c>
      <c r="G135" s="1726">
        <f t="shared" si="15"/>
        <v>0</v>
      </c>
      <c r="H135" s="1726">
        <f t="shared" si="15"/>
        <v>0</v>
      </c>
      <c r="I135" s="1726">
        <f t="shared" si="15"/>
        <v>0</v>
      </c>
      <c r="J135" s="1726">
        <f t="shared" si="15"/>
        <v>0</v>
      </c>
      <c r="K135" s="1726">
        <f t="shared" si="15"/>
        <v>0</v>
      </c>
      <c r="L135" s="1726">
        <f t="shared" si="15"/>
        <v>0</v>
      </c>
      <c r="M135" s="1726">
        <f t="shared" si="15"/>
        <v>0</v>
      </c>
      <c r="N135" s="1726">
        <f t="shared" si="15"/>
        <v>0</v>
      </c>
      <c r="O135" s="1726">
        <f t="shared" si="15"/>
        <v>0</v>
      </c>
      <c r="P135" s="1726">
        <f t="shared" si="15"/>
        <v>0</v>
      </c>
      <c r="Q135" s="1726">
        <f t="shared" si="15"/>
        <v>0</v>
      </c>
      <c r="R135" s="1726">
        <f t="shared" si="15"/>
        <v>0</v>
      </c>
      <c r="S135" s="1726">
        <f t="shared" si="15"/>
        <v>0</v>
      </c>
      <c r="T135" s="1726">
        <f t="shared" si="15"/>
        <v>0</v>
      </c>
      <c r="U135" s="1726">
        <f t="shared" si="15"/>
        <v>0</v>
      </c>
      <c r="V135" s="1726">
        <f t="shared" si="15"/>
        <v>0</v>
      </c>
      <c r="W135" s="1726">
        <f t="shared" si="15"/>
        <v>0</v>
      </c>
      <c r="X135" s="1726">
        <f t="shared" si="15"/>
        <v>0</v>
      </c>
      <c r="Y135" s="1726">
        <f t="shared" si="15"/>
        <v>0</v>
      </c>
      <c r="Z135" s="1726">
        <f t="shared" si="15"/>
        <v>0</v>
      </c>
      <c r="AA135" s="1726">
        <f t="shared" si="15"/>
        <v>0</v>
      </c>
      <c r="AB135" s="1726">
        <f t="shared" si="15"/>
        <v>0</v>
      </c>
      <c r="AC135" s="1726">
        <f t="shared" si="15"/>
        <v>0</v>
      </c>
      <c r="AD135" s="1726">
        <f t="shared" si="15"/>
        <v>0</v>
      </c>
      <c r="AE135" s="1726">
        <f t="shared" si="15"/>
        <v>0</v>
      </c>
      <c r="AF135" s="1726">
        <f t="shared" si="15"/>
        <v>0</v>
      </c>
      <c r="AG135" s="1726">
        <f t="shared" si="15"/>
        <v>9.3238746095371387E-9</v>
      </c>
      <c r="AH135" s="1726">
        <f t="shared" si="15"/>
        <v>1.8511394412681704E-7</v>
      </c>
      <c r="AI135" s="1726">
        <f t="shared" si="15"/>
        <v>4.965516000726963E-7</v>
      </c>
      <c r="AJ135" s="1726">
        <f t="shared" si="15"/>
        <v>9.6183115029702922E-7</v>
      </c>
      <c r="AK135" s="1726">
        <f t="shared" si="15"/>
        <v>1.3942986424158094E-6</v>
      </c>
      <c r="AL135" s="1726">
        <f t="shared" si="15"/>
        <v>1.8259639669936155E-6</v>
      </c>
      <c r="AM135" s="1726"/>
    </row>
    <row r="136" spans="1:39" ht="15.75" customHeight="1" x14ac:dyDescent="0.25">
      <c r="A136" s="3"/>
      <c r="B136" s="3" t="str">
        <f t="shared" si="11"/>
        <v>Solvents</v>
      </c>
      <c r="C136" s="3" t="str">
        <f t="shared" si="11"/>
        <v>HFC</v>
      </c>
      <c r="D136" s="3" t="str">
        <f t="shared" si="11"/>
        <v>Other HFC</v>
      </c>
      <c r="E136" s="1728">
        <f t="shared" si="7"/>
        <v>1.0981515348160384</v>
      </c>
      <c r="F136" s="1726">
        <f t="shared" si="15"/>
        <v>0</v>
      </c>
      <c r="G136" s="1726">
        <f t="shared" si="15"/>
        <v>0</v>
      </c>
      <c r="H136" s="1726">
        <f t="shared" si="15"/>
        <v>0</v>
      </c>
      <c r="I136" s="1726">
        <f t="shared" si="15"/>
        <v>0</v>
      </c>
      <c r="J136" s="1726">
        <f t="shared" si="15"/>
        <v>0</v>
      </c>
      <c r="K136" s="1726">
        <f t="shared" si="15"/>
        <v>1.2858063146466956E-2</v>
      </c>
      <c r="L136" s="1726">
        <f t="shared" si="15"/>
        <v>2.6142352744017917E-2</v>
      </c>
      <c r="M136" s="1726">
        <f t="shared" si="15"/>
        <v>2.658181807889614E-2</v>
      </c>
      <c r="N136" s="1726">
        <f t="shared" si="15"/>
        <v>2.7044238366872649E-2</v>
      </c>
      <c r="O136" s="1726">
        <f t="shared" si="15"/>
        <v>2.7532808725192717E-2</v>
      </c>
      <c r="P136" s="1726">
        <f t="shared" si="15"/>
        <v>2.8072761508890515E-2</v>
      </c>
      <c r="Q136" s="1726">
        <f t="shared" si="15"/>
        <v>2.8695384880284908E-2</v>
      </c>
      <c r="R136" s="1726">
        <f t="shared" si="15"/>
        <v>2.935716353734296E-2</v>
      </c>
      <c r="S136" s="1726">
        <f t="shared" si="15"/>
        <v>2.9996342867321352E-2</v>
      </c>
      <c r="T136" s="1726">
        <f t="shared" si="15"/>
        <v>3.0597786383249323E-2</v>
      </c>
      <c r="U136" s="1726">
        <f t="shared" si="15"/>
        <v>3.1181531713213761E-2</v>
      </c>
      <c r="V136" s="1726">
        <f t="shared" si="15"/>
        <v>3.1702884498197297E-2</v>
      </c>
      <c r="W136" s="1726">
        <f t="shared" si="15"/>
        <v>3.2185696943230223E-2</v>
      </c>
      <c r="X136" s="1726">
        <f t="shared" si="15"/>
        <v>3.2708616470076307E-2</v>
      </c>
      <c r="Y136" s="1726">
        <f t="shared" si="15"/>
        <v>3.334236702262814E-2</v>
      </c>
      <c r="Z136" s="1726">
        <f t="shared" si="15"/>
        <v>3.4078139361759671E-2</v>
      </c>
      <c r="AA136" s="1726">
        <f t="shared" si="15"/>
        <v>3.4822707394172821E-2</v>
      </c>
      <c r="AB136" s="1726">
        <f t="shared" si="15"/>
        <v>3.555866646152727E-2</v>
      </c>
      <c r="AC136" s="1726">
        <f t="shared" si="15"/>
        <v>3.6252561779735001E-2</v>
      </c>
      <c r="AD136" s="1726">
        <f t="shared" si="15"/>
        <v>3.693340986416873E-2</v>
      </c>
      <c r="AE136" s="1726">
        <f t="shared" si="15"/>
        <v>3.7584727472006446E-2</v>
      </c>
      <c r="AF136" s="1726">
        <f t="shared" si="15"/>
        <v>3.818836935169434E-2</v>
      </c>
      <c r="AG136" s="1726">
        <f t="shared" si="15"/>
        <v>3.8855607694375148E-2</v>
      </c>
      <c r="AH136" s="1726">
        <f t="shared" si="15"/>
        <v>3.9534062330073408E-2</v>
      </c>
      <c r="AI136" s="1726">
        <f t="shared" si="15"/>
        <v>4.0228918382978436E-2</v>
      </c>
      <c r="AJ136" s="1726">
        <f t="shared" si="15"/>
        <v>4.1426934504528709E-2</v>
      </c>
      <c r="AK136" s="1726">
        <f t="shared" si="15"/>
        <v>4.2202265468569568E-2</v>
      </c>
      <c r="AL136" s="1726">
        <f t="shared" si="15"/>
        <v>4.2821987365809965E-2</v>
      </c>
      <c r="AM136" s="1726"/>
    </row>
    <row r="137" spans="1:39" ht="15.75" customHeight="1" x14ac:dyDescent="0.25">
      <c r="A137" s="3"/>
      <c r="B137" s="3" t="str">
        <f t="shared" ref="B137:D139" si="16">B47</f>
        <v>Fire protection</v>
      </c>
      <c r="C137" s="3" t="str">
        <f t="shared" si="16"/>
        <v>PFC</v>
      </c>
      <c r="D137" s="3" t="str">
        <f t="shared" si="16"/>
        <v>Other PFC</v>
      </c>
      <c r="E137" s="1728">
        <f t="shared" si="7"/>
        <v>1.8064527199105882</v>
      </c>
      <c r="F137" s="1726">
        <f t="shared" si="15"/>
        <v>0</v>
      </c>
      <c r="G137" s="1726">
        <f t="shared" si="15"/>
        <v>0</v>
      </c>
      <c r="H137" s="1726">
        <f t="shared" si="15"/>
        <v>0</v>
      </c>
      <c r="I137" s="1726">
        <f t="shared" si="15"/>
        <v>0</v>
      </c>
      <c r="J137" s="1726">
        <f t="shared" si="15"/>
        <v>3.1252988760546909E-6</v>
      </c>
      <c r="K137" s="1726">
        <f t="shared" si="15"/>
        <v>3.4290762945156283E-5</v>
      </c>
      <c r="L137" s="1726">
        <f t="shared" si="15"/>
        <v>8.3886945009808717E-5</v>
      </c>
      <c r="M137" s="1726">
        <f t="shared" si="15"/>
        <v>1.5795868102124581E-4</v>
      </c>
      <c r="N137" s="1726">
        <f t="shared" si="15"/>
        <v>2.564117740052231E-4</v>
      </c>
      <c r="O137" s="1726">
        <f t="shared" si="15"/>
        <v>3.8851757857311456E-4</v>
      </c>
      <c r="P137" s="1726">
        <f t="shared" si="15"/>
        <v>5.1166128713824401E-4</v>
      </c>
      <c r="Q137" s="1726">
        <f t="shared" si="15"/>
        <v>6.3321873099480652E-4</v>
      </c>
      <c r="R137" s="1726">
        <f t="shared" si="15"/>
        <v>7.4664576035905717E-4</v>
      </c>
      <c r="S137" s="1726">
        <f t="shared" si="15"/>
        <v>7.4794544611338253E-4</v>
      </c>
      <c r="T137" s="1726">
        <f t="shared" si="15"/>
        <v>7.4798268724453874E-4</v>
      </c>
      <c r="U137" s="1726">
        <f t="shared" si="15"/>
        <v>7.4730237457089051E-4</v>
      </c>
      <c r="V137" s="1726">
        <f t="shared" si="15"/>
        <v>7.4490445346025438E-4</v>
      </c>
      <c r="W137" s="1726">
        <f t="shared" si="15"/>
        <v>7.4142458402969751E-4</v>
      </c>
      <c r="X137" s="1726">
        <f t="shared" si="15"/>
        <v>7.3869775156154994E-4</v>
      </c>
      <c r="Y137" s="1726">
        <f t="shared" si="15"/>
        <v>7.382421839629181E-4</v>
      </c>
      <c r="Z137" s="1726">
        <f t="shared" si="15"/>
        <v>7.3973616806546742E-4</v>
      </c>
      <c r="AA137" s="1726">
        <f t="shared" si="15"/>
        <v>7.4108157604983965E-4</v>
      </c>
      <c r="AB137" s="1726">
        <f t="shared" si="15"/>
        <v>7.4190133586336706E-4</v>
      </c>
      <c r="AC137" s="1726">
        <f t="shared" si="15"/>
        <v>7.4154736434371975E-4</v>
      </c>
      <c r="AD137" s="1726">
        <f t="shared" ref="AD137:AL137" si="17">AD47*$E137</f>
        <v>7.4066293220973801E-4</v>
      </c>
      <c r="AE137" s="1726">
        <f t="shared" si="17"/>
        <v>7.3894896804106681E-4</v>
      </c>
      <c r="AF137" s="1726">
        <f t="shared" si="17"/>
        <v>7.3609262959230324E-4</v>
      </c>
      <c r="AG137" s="1726">
        <f t="shared" si="17"/>
        <v>7.3426584885125372E-4</v>
      </c>
      <c r="AH137" s="1726">
        <f t="shared" si="17"/>
        <v>7.3244086865830696E-4</v>
      </c>
      <c r="AI137" s="1726">
        <f t="shared" si="17"/>
        <v>7.3069577891417281E-4</v>
      </c>
      <c r="AJ137" s="1726">
        <f t="shared" si="17"/>
        <v>7.3770172409781253E-4</v>
      </c>
      <c r="AK137" s="1726">
        <f t="shared" si="17"/>
        <v>7.3677083802823349E-4</v>
      </c>
      <c r="AL137" s="1726">
        <f t="shared" si="17"/>
        <v>7.3293318570675375E-4</v>
      </c>
      <c r="AM137" s="1726"/>
    </row>
    <row r="138" spans="1:39" ht="15.75" customHeight="1" x14ac:dyDescent="0.25">
      <c r="A138" s="3"/>
      <c r="B138" s="3" t="str">
        <f t="shared" si="16"/>
        <v>Solvents</v>
      </c>
      <c r="C138" s="3" t="str">
        <f t="shared" si="16"/>
        <v>PFC</v>
      </c>
      <c r="D138" s="3" t="str">
        <f t="shared" si="16"/>
        <v>Other PFC</v>
      </c>
      <c r="E138" s="1728">
        <f t="shared" si="7"/>
        <v>1.8064527199105882</v>
      </c>
      <c r="F138" s="1726">
        <f t="shared" ref="F138:AL139" si="18">F48*$E138</f>
        <v>0</v>
      </c>
      <c r="G138" s="1726">
        <f t="shared" si="18"/>
        <v>0</v>
      </c>
      <c r="H138" s="1726">
        <f t="shared" si="18"/>
        <v>0</v>
      </c>
      <c r="I138" s="1726">
        <f t="shared" si="18"/>
        <v>0</v>
      </c>
      <c r="J138" s="1726">
        <f t="shared" si="18"/>
        <v>0</v>
      </c>
      <c r="K138" s="1726">
        <f t="shared" si="18"/>
        <v>1.5258586456165887E-2</v>
      </c>
      <c r="L138" s="1726">
        <f t="shared" si="18"/>
        <v>3.6673991127994125E-2</v>
      </c>
      <c r="M138" s="1726">
        <f t="shared" si="18"/>
        <v>4.3038495488241943E-2</v>
      </c>
      <c r="N138" s="1726">
        <f t="shared" si="18"/>
        <v>4.3786222403491309E-2</v>
      </c>
      <c r="O138" s="1726">
        <f t="shared" si="18"/>
        <v>4.4578521042203036E-2</v>
      </c>
      <c r="P138" s="1726">
        <f t="shared" si="18"/>
        <v>3.5225199361285084E-2</v>
      </c>
      <c r="Q138" s="1726">
        <f t="shared" si="18"/>
        <v>2.5553706405296576E-2</v>
      </c>
      <c r="R138" s="1726">
        <f t="shared" si="18"/>
        <v>1.5449492239650383E-2</v>
      </c>
      <c r="S138" s="1726">
        <f t="shared" si="18"/>
        <v>4.8563829295225841E-3</v>
      </c>
      <c r="T138" s="1726">
        <f t="shared" si="18"/>
        <v>4.9553583146246093E-3</v>
      </c>
      <c r="U138" s="1726">
        <f t="shared" si="18"/>
        <v>4.0390628274519442E-3</v>
      </c>
      <c r="V138" s="1726">
        <f t="shared" si="18"/>
        <v>3.077377284284759E-3</v>
      </c>
      <c r="W138" s="1726">
        <f t="shared" si="18"/>
        <v>2.0843220035286964E-3</v>
      </c>
      <c r="X138" s="1726">
        <f t="shared" si="18"/>
        <v>1.0594109166383043E-3</v>
      </c>
      <c r="Y138" s="1726">
        <f t="shared" si="18"/>
        <v>0</v>
      </c>
      <c r="Z138" s="1726">
        <f t="shared" si="18"/>
        <v>0</v>
      </c>
      <c r="AA138" s="1726">
        <f t="shared" si="18"/>
        <v>0</v>
      </c>
      <c r="AB138" s="1726">
        <f t="shared" si="18"/>
        <v>0</v>
      </c>
      <c r="AC138" s="1726">
        <f t="shared" si="18"/>
        <v>0</v>
      </c>
      <c r="AD138" s="1726">
        <f t="shared" si="18"/>
        <v>0</v>
      </c>
      <c r="AE138" s="1726">
        <f t="shared" si="18"/>
        <v>0</v>
      </c>
      <c r="AF138" s="1726">
        <f t="shared" si="18"/>
        <v>0</v>
      </c>
      <c r="AG138" s="1726">
        <f t="shared" si="18"/>
        <v>0</v>
      </c>
      <c r="AH138" s="1726">
        <f t="shared" si="18"/>
        <v>0</v>
      </c>
      <c r="AI138" s="1726">
        <f t="shared" si="18"/>
        <v>0</v>
      </c>
      <c r="AJ138" s="1726">
        <f t="shared" si="18"/>
        <v>0</v>
      </c>
      <c r="AK138" s="1726">
        <f t="shared" si="18"/>
        <v>0</v>
      </c>
      <c r="AL138" s="1726">
        <f t="shared" si="18"/>
        <v>0</v>
      </c>
      <c r="AM138" s="1726"/>
    </row>
    <row r="139" spans="1:39" ht="15.75" customHeight="1" x14ac:dyDescent="0.25">
      <c r="A139" s="3"/>
      <c r="B139" s="3" t="str">
        <f t="shared" si="16"/>
        <v>Fire protection</v>
      </c>
      <c r="C139" s="3" t="str">
        <f t="shared" si="16"/>
        <v>PFC</v>
      </c>
      <c r="D139" s="3" t="str">
        <f t="shared" si="16"/>
        <v>PFC-14 (Perfluoromethane)</v>
      </c>
      <c r="E139" s="1728">
        <f t="shared" si="7"/>
        <v>1.1131221719457014</v>
      </c>
      <c r="F139" s="1726">
        <f t="shared" si="18"/>
        <v>0</v>
      </c>
      <c r="G139" s="1726">
        <f t="shared" si="18"/>
        <v>0</v>
      </c>
      <c r="H139" s="1726">
        <f t="shared" si="18"/>
        <v>0</v>
      </c>
      <c r="I139" s="1726">
        <f t="shared" si="18"/>
        <v>0</v>
      </c>
      <c r="J139" s="1726">
        <f t="shared" si="18"/>
        <v>4.9961560157817728E-7</v>
      </c>
      <c r="K139" s="1726">
        <f t="shared" si="18"/>
        <v>1.6057738723443702E-6</v>
      </c>
      <c r="L139" s="1726">
        <f t="shared" si="18"/>
        <v>1.4514039122903119E-5</v>
      </c>
      <c r="M139" s="1726">
        <f t="shared" si="18"/>
        <v>3.9830321803897769E-5</v>
      </c>
      <c r="N139" s="1726">
        <f t="shared" si="18"/>
        <v>7.8304328681815341E-5</v>
      </c>
      <c r="O139" s="1726">
        <f t="shared" si="18"/>
        <v>1.3057147368950137E-4</v>
      </c>
      <c r="P139" s="1726">
        <f t="shared" si="18"/>
        <v>1.9720599169831886E-4</v>
      </c>
      <c r="Q139" s="1726">
        <f t="shared" si="18"/>
        <v>2.6593459534622149E-4</v>
      </c>
      <c r="R139" s="1726">
        <f t="shared" si="18"/>
        <v>3.2555746089674354E-4</v>
      </c>
      <c r="S139" s="1726">
        <f t="shared" si="18"/>
        <v>3.7457972570859206E-4</v>
      </c>
      <c r="T139" s="1726">
        <f t="shared" si="18"/>
        <v>4.1203064988122872E-4</v>
      </c>
      <c r="U139" s="1726">
        <f t="shared" si="18"/>
        <v>4.3726734755239298E-4</v>
      </c>
      <c r="V139" s="1726">
        <f t="shared" si="18"/>
        <v>4.4898575349609749E-4</v>
      </c>
      <c r="W139" s="1726">
        <f t="shared" si="18"/>
        <v>4.6027635671259091E-4</v>
      </c>
      <c r="X139" s="1726">
        <f t="shared" si="18"/>
        <v>4.7235792308832932E-4</v>
      </c>
      <c r="Y139" s="1726">
        <f t="shared" si="18"/>
        <v>4.8621337521845742E-4</v>
      </c>
      <c r="Z139" s="1726">
        <f t="shared" si="18"/>
        <v>5.018088856264762E-4</v>
      </c>
      <c r="AA139" s="1726">
        <f t="shared" si="18"/>
        <v>5.1779665162890985E-4</v>
      </c>
      <c r="AB139" s="1726">
        <f t="shared" si="18"/>
        <v>5.339533119022976E-4</v>
      </c>
      <c r="AC139" s="1726">
        <f t="shared" si="18"/>
        <v>5.497122446681777E-4</v>
      </c>
      <c r="AD139" s="1726">
        <f t="shared" si="18"/>
        <v>5.6548791377722168E-4</v>
      </c>
      <c r="AE139" s="1726">
        <f t="shared" si="18"/>
        <v>5.8111722725236214E-4</v>
      </c>
      <c r="AF139" s="1726">
        <f t="shared" si="18"/>
        <v>5.9623167666656807E-4</v>
      </c>
      <c r="AG139" s="1726">
        <f t="shared" si="18"/>
        <v>6.126107876341726E-4</v>
      </c>
      <c r="AH139" s="1726">
        <f t="shared" si="18"/>
        <v>6.2938843028398513E-4</v>
      </c>
      <c r="AI139" s="1726">
        <f t="shared" si="18"/>
        <v>6.4673792253906975E-4</v>
      </c>
      <c r="AJ139" s="1726">
        <f t="shared" si="18"/>
        <v>6.0677807101771795E-4</v>
      </c>
      <c r="AK139" s="1726">
        <f t="shared" si="18"/>
        <v>5.585522835768788E-4</v>
      </c>
      <c r="AL139" s="1726">
        <f t="shared" si="18"/>
        <v>5.0697150155528466E-4</v>
      </c>
      <c r="AM139" s="1726"/>
    </row>
    <row r="140" spans="1:39"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row>
    <row r="141" spans="1:39" ht="15.75" customHeight="1" x14ac:dyDescent="0.25">
      <c r="A141" s="3"/>
      <c r="B141" s="1727" t="s">
        <v>1738</v>
      </c>
      <c r="C141" s="1724"/>
      <c r="D141" s="1724"/>
      <c r="E141" s="1724"/>
      <c r="F141" s="1724"/>
      <c r="G141" s="1724"/>
      <c r="H141" s="1724"/>
      <c r="I141" s="1724"/>
      <c r="J141" s="1724"/>
      <c r="K141" s="1724"/>
      <c r="L141" s="1724"/>
      <c r="M141" s="1724"/>
      <c r="N141" s="1724"/>
      <c r="O141" s="1724"/>
      <c r="P141" s="1724"/>
      <c r="Q141" s="1724"/>
      <c r="R141" s="1724"/>
      <c r="S141" s="1724"/>
      <c r="T141" s="1724"/>
      <c r="U141" s="1724"/>
      <c r="V141" s="1724"/>
      <c r="W141" s="1724"/>
      <c r="X141" s="1724"/>
      <c r="Y141" s="1724"/>
      <c r="Z141" s="1724"/>
      <c r="AA141" s="1724"/>
      <c r="AB141" s="1724"/>
      <c r="AC141" s="1724"/>
      <c r="AD141" s="1724"/>
      <c r="AE141" s="1724"/>
      <c r="AF141" s="1724"/>
      <c r="AG141" s="1724"/>
      <c r="AH141" s="1724"/>
      <c r="AI141" s="1724"/>
      <c r="AJ141" s="1724"/>
      <c r="AK141" s="1724"/>
      <c r="AL141" s="1724"/>
      <c r="AM141" s="1725"/>
    </row>
    <row r="142" spans="1:39"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row>
    <row r="143" spans="1:39" ht="15.75" customHeight="1" x14ac:dyDescent="0.25">
      <c r="A143" s="3"/>
      <c r="B143" s="1729" t="s">
        <v>2</v>
      </c>
      <c r="C143" s="1730"/>
      <c r="D143" s="1730"/>
      <c r="E143" s="1730"/>
      <c r="F143" s="1730"/>
      <c r="G143" s="1730"/>
      <c r="H143" s="1730"/>
      <c r="I143" s="1730"/>
      <c r="J143" s="1730"/>
      <c r="K143" s="1730"/>
      <c r="L143" s="1730"/>
      <c r="M143" s="1730"/>
      <c r="N143" s="1730"/>
      <c r="O143" s="1730"/>
      <c r="P143" s="1730"/>
      <c r="Q143" s="1730"/>
      <c r="R143" s="1730"/>
      <c r="S143" s="1730"/>
      <c r="T143" s="1730"/>
      <c r="U143" s="1730"/>
      <c r="V143" s="1730"/>
      <c r="W143" s="1730"/>
      <c r="X143" s="1730"/>
      <c r="Y143" s="1730"/>
      <c r="Z143" s="1730"/>
      <c r="AA143" s="1730"/>
      <c r="AB143" s="1730"/>
      <c r="AC143" s="1730"/>
      <c r="AD143" s="1730"/>
      <c r="AE143" s="1730"/>
      <c r="AF143" s="1730"/>
      <c r="AG143" s="1730"/>
      <c r="AH143" s="1730"/>
      <c r="AI143" s="1730"/>
      <c r="AJ143" s="1730"/>
      <c r="AK143" s="1730"/>
      <c r="AL143" s="1730"/>
      <c r="AM143" s="1733"/>
    </row>
    <row r="144" spans="1:39" ht="15.75" customHeight="1" x14ac:dyDescent="0.25">
      <c r="A144" s="3"/>
      <c r="B144" s="3"/>
      <c r="C144" s="3"/>
      <c r="D144" s="1714" t="s">
        <v>618</v>
      </c>
      <c r="E144" s="1714"/>
      <c r="F144" s="1714" t="s">
        <v>1635</v>
      </c>
      <c r="G144" s="1714" t="s">
        <v>1636</v>
      </c>
      <c r="H144" s="1714" t="s">
        <v>1637</v>
      </c>
      <c r="I144" s="1714" t="s">
        <v>1638</v>
      </c>
      <c r="J144" s="1714" t="s">
        <v>1639</v>
      </c>
      <c r="K144" s="1714" t="s">
        <v>1640</v>
      </c>
      <c r="L144" s="1714" t="s">
        <v>1641</v>
      </c>
      <c r="M144" s="1714" t="s">
        <v>1642</v>
      </c>
      <c r="N144" s="1714" t="s">
        <v>1643</v>
      </c>
      <c r="O144" s="1714" t="s">
        <v>1644</v>
      </c>
      <c r="P144" s="1714" t="s">
        <v>1645</v>
      </c>
      <c r="Q144" s="1714" t="s">
        <v>1646</v>
      </c>
      <c r="R144" s="1714" t="s">
        <v>1647</v>
      </c>
      <c r="S144" s="1714" t="s">
        <v>1648</v>
      </c>
      <c r="T144" s="1714" t="s">
        <v>1649</v>
      </c>
      <c r="U144" s="1714" t="s">
        <v>1650</v>
      </c>
      <c r="V144" s="1714" t="s">
        <v>1651</v>
      </c>
      <c r="W144" s="1714" t="s">
        <v>1652</v>
      </c>
      <c r="X144" s="1714" t="s">
        <v>1653</v>
      </c>
      <c r="Y144" s="1714" t="s">
        <v>1654</v>
      </c>
      <c r="Z144" s="1714" t="s">
        <v>1655</v>
      </c>
      <c r="AA144" s="1714" t="s">
        <v>1656</v>
      </c>
      <c r="AB144" s="1714" t="s">
        <v>1657</v>
      </c>
      <c r="AC144" s="1714" t="s">
        <v>1658</v>
      </c>
      <c r="AD144" s="1714" t="s">
        <v>1659</v>
      </c>
      <c r="AE144" s="1714" t="s">
        <v>1660</v>
      </c>
      <c r="AF144" s="1714" t="s">
        <v>1661</v>
      </c>
      <c r="AG144" s="1714" t="s">
        <v>1662</v>
      </c>
      <c r="AH144" s="1714" t="s">
        <v>1663</v>
      </c>
      <c r="AI144" s="1714" t="s">
        <v>1664</v>
      </c>
      <c r="AJ144" s="1714" t="s">
        <v>1665</v>
      </c>
      <c r="AK144" s="1714" t="s">
        <v>1666</v>
      </c>
      <c r="AL144" s="1714" t="s">
        <v>1667</v>
      </c>
      <c r="AM144" s="1714"/>
    </row>
    <row r="145" spans="1:39" ht="15.75" customHeight="1" x14ac:dyDescent="0.25">
      <c r="A145" s="3"/>
      <c r="B145" s="3"/>
      <c r="C145" s="3"/>
      <c r="D145" s="3" t="s">
        <v>1669</v>
      </c>
      <c r="E145" s="3"/>
      <c r="F145" s="1726">
        <f t="shared" ref="F145:AL152" si="19">SUMIF($D$16:$D$49,$D145,F$16:F$49)</f>
        <v>2.6131014791080082E-7</v>
      </c>
      <c r="G145" s="1726">
        <f t="shared" si="19"/>
        <v>4.1898124909234098E-7</v>
      </c>
      <c r="H145" s="1726">
        <f t="shared" si="19"/>
        <v>5.8111866987456702E-7</v>
      </c>
      <c r="I145" s="1726">
        <f t="shared" si="19"/>
        <v>7.4840461171582204E-7</v>
      </c>
      <c r="J145" s="1726">
        <f t="shared" si="19"/>
        <v>9.2201719908830302E-7</v>
      </c>
      <c r="K145" s="1726">
        <f t="shared" si="19"/>
        <v>2.3052706395561522E-6</v>
      </c>
      <c r="L145" s="1726">
        <f t="shared" si="19"/>
        <v>4.4136082214367739E-6</v>
      </c>
      <c r="M145" s="1726">
        <f t="shared" si="19"/>
        <v>6.5946290152229707E-6</v>
      </c>
      <c r="N145" s="1726">
        <f t="shared" si="19"/>
        <v>8.8565132283437395E-6</v>
      </c>
      <c r="O145" s="1726">
        <f t="shared" si="19"/>
        <v>1.1509845363912519E-5</v>
      </c>
      <c r="P145" s="1726">
        <f t="shared" si="19"/>
        <v>1.2569649352965852E-5</v>
      </c>
      <c r="Q145" s="1726">
        <f t="shared" si="19"/>
        <v>1.3247157241468287E-5</v>
      </c>
      <c r="R145" s="1726">
        <f t="shared" si="19"/>
        <v>1.7288683860185458E-5</v>
      </c>
      <c r="S145" s="1726">
        <f t="shared" si="19"/>
        <v>2.1944993352741679E-5</v>
      </c>
      <c r="T145" s="1726">
        <f t="shared" si="19"/>
        <v>2.3330088569784589E-5</v>
      </c>
      <c r="U145" s="1726">
        <f t="shared" si="19"/>
        <v>2.4713909211711638E-5</v>
      </c>
      <c r="V145" s="1726">
        <f t="shared" si="19"/>
        <v>2.6092421796137101E-5</v>
      </c>
      <c r="W145" s="1726">
        <f t="shared" si="19"/>
        <v>2.7471143032289743E-5</v>
      </c>
      <c r="X145" s="1726">
        <f t="shared" si="19"/>
        <v>2.8923391721581608E-5</v>
      </c>
      <c r="Y145" s="1726">
        <f t="shared" si="19"/>
        <v>3.1802293449473981E-5</v>
      </c>
      <c r="Z145" s="1726">
        <f t="shared" si="19"/>
        <v>3.5335146091815057E-5</v>
      </c>
      <c r="AA145" s="1726">
        <f t="shared" si="19"/>
        <v>3.771742776819257E-5</v>
      </c>
      <c r="AB145" s="1726">
        <f t="shared" si="19"/>
        <v>3.956228490669917E-5</v>
      </c>
      <c r="AC145" s="1726">
        <f t="shared" si="19"/>
        <v>4.1703195498338638E-5</v>
      </c>
      <c r="AD145" s="1726">
        <f t="shared" si="19"/>
        <v>4.4100162870311796E-5</v>
      </c>
      <c r="AE145" s="1726">
        <f t="shared" si="19"/>
        <v>4.6478452427122152E-5</v>
      </c>
      <c r="AF145" s="1726">
        <f t="shared" si="19"/>
        <v>4.9640579107816882E-5</v>
      </c>
      <c r="AG145" s="1726">
        <f t="shared" si="19"/>
        <v>5.2781854283047353E-5</v>
      </c>
      <c r="AH145" s="1726">
        <f t="shared" si="19"/>
        <v>5.6556118564366453E-5</v>
      </c>
      <c r="AI145" s="1726">
        <f t="shared" si="19"/>
        <v>6.0255123344093292E-5</v>
      </c>
      <c r="AJ145" s="1726">
        <f t="shared" si="19"/>
        <v>6.4760276546437561E-5</v>
      </c>
      <c r="AK145" s="1726">
        <f t="shared" si="19"/>
        <v>6.8680952135492248E-5</v>
      </c>
      <c r="AL145" s="1726">
        <f t="shared" si="19"/>
        <v>7.2638169923938342E-5</v>
      </c>
      <c r="AM145" s="1726"/>
    </row>
    <row r="146" spans="1:39" ht="15.75" customHeight="1" x14ac:dyDescent="0.25">
      <c r="A146" s="3"/>
      <c r="B146" s="3"/>
      <c r="C146" s="3"/>
      <c r="D146" s="3" t="s">
        <v>1673</v>
      </c>
      <c r="E146" s="3"/>
      <c r="F146" s="1726">
        <f t="shared" si="19"/>
        <v>2.0830797606810991E-6</v>
      </c>
      <c r="G146" s="1726">
        <f t="shared" si="19"/>
        <v>5.1310290580785562E-6</v>
      </c>
      <c r="H146" s="1726">
        <f t="shared" si="19"/>
        <v>9.8378592437783122E-6</v>
      </c>
      <c r="I146" s="1726">
        <f t="shared" si="19"/>
        <v>1.8322801458537179E-3</v>
      </c>
      <c r="J146" s="1726">
        <f t="shared" si="19"/>
        <v>4.8728700758485701E-3</v>
      </c>
      <c r="K146" s="1726">
        <f t="shared" si="19"/>
        <v>1.032790790201873E-2</v>
      </c>
      <c r="L146" s="1726">
        <f t="shared" si="19"/>
        <v>1.7579836613494621E-2</v>
      </c>
      <c r="M146" s="1726">
        <f t="shared" si="19"/>
        <v>2.7162326207427513E-2</v>
      </c>
      <c r="N146" s="1726">
        <f t="shared" si="19"/>
        <v>3.5568886265150208E-2</v>
      </c>
      <c r="O146" s="1726">
        <f t="shared" si="19"/>
        <v>4.6624095576810541E-2</v>
      </c>
      <c r="P146" s="1726">
        <f t="shared" si="19"/>
        <v>5.5812528268700944E-2</v>
      </c>
      <c r="Q146" s="1726">
        <f t="shared" si="19"/>
        <v>6.8048370774473177E-2</v>
      </c>
      <c r="R146" s="1726">
        <f t="shared" si="19"/>
        <v>8.2768776549837705E-2</v>
      </c>
      <c r="S146" s="1726">
        <f t="shared" si="19"/>
        <v>9.8916356993009324E-2</v>
      </c>
      <c r="T146" s="1726">
        <f t="shared" si="19"/>
        <v>0.11556638247448875</v>
      </c>
      <c r="U146" s="1726">
        <f t="shared" si="19"/>
        <v>0.14526687204559344</v>
      </c>
      <c r="V146" s="1726">
        <f t="shared" si="19"/>
        <v>0.1830632098883283</v>
      </c>
      <c r="W146" s="1726">
        <f t="shared" si="19"/>
        <v>0.23174112319779269</v>
      </c>
      <c r="X146" s="1726">
        <f t="shared" si="19"/>
        <v>0.28390434385766028</v>
      </c>
      <c r="Y146" s="1726">
        <f t="shared" si="19"/>
        <v>0.27859971478622109</v>
      </c>
      <c r="Z146" s="1726">
        <f t="shared" si="19"/>
        <v>0.32210415357467981</v>
      </c>
      <c r="AA146" s="1726">
        <f t="shared" si="19"/>
        <v>0.39741648529784546</v>
      </c>
      <c r="AB146" s="1726">
        <f t="shared" si="19"/>
        <v>0.48462378571764464</v>
      </c>
      <c r="AC146" s="1726">
        <f t="shared" si="19"/>
        <v>0.55505444606933285</v>
      </c>
      <c r="AD146" s="1726">
        <f t="shared" si="19"/>
        <v>0.70901828091073293</v>
      </c>
      <c r="AE146" s="1726">
        <f t="shared" si="19"/>
        <v>0.70273870248002923</v>
      </c>
      <c r="AF146" s="1726">
        <f t="shared" si="19"/>
        <v>0.83946166933053612</v>
      </c>
      <c r="AG146" s="1726">
        <f t="shared" si="19"/>
        <v>0.7570571447987452</v>
      </c>
      <c r="AH146" s="1726">
        <f t="shared" si="19"/>
        <v>0.89698849638908895</v>
      </c>
      <c r="AI146" s="1726">
        <f t="shared" si="19"/>
        <v>0.87324940282913732</v>
      </c>
      <c r="AJ146" s="1726">
        <f t="shared" si="19"/>
        <v>1.0488115191041207</v>
      </c>
      <c r="AK146" s="1726">
        <f t="shared" si="19"/>
        <v>1.2052278275521806</v>
      </c>
      <c r="AL146" s="1726">
        <f t="shared" si="19"/>
        <v>1.3102715128554596</v>
      </c>
      <c r="AM146" s="1726"/>
    </row>
    <row r="147" spans="1:39" ht="15.75" customHeight="1" x14ac:dyDescent="0.25">
      <c r="A147" s="3"/>
      <c r="B147" s="3"/>
      <c r="C147" s="3"/>
      <c r="D147" s="3" t="s">
        <v>1674</v>
      </c>
      <c r="E147" s="3"/>
      <c r="F147" s="1726">
        <f t="shared" si="19"/>
        <v>7.3244025391447861E-8</v>
      </c>
      <c r="G147" s="1726">
        <f t="shared" si="19"/>
        <v>1.8041422594940989E-7</v>
      </c>
      <c r="H147" s="1726">
        <f t="shared" si="19"/>
        <v>1.7305468372907699E-2</v>
      </c>
      <c r="I147" s="1726">
        <f t="shared" si="19"/>
        <v>7.4925704686498354E-2</v>
      </c>
      <c r="J147" s="1726">
        <f t="shared" si="19"/>
        <v>0.19437242912594571</v>
      </c>
      <c r="K147" s="1726">
        <f t="shared" si="19"/>
        <v>0.42043990479246957</v>
      </c>
      <c r="L147" s="1726">
        <f t="shared" si="19"/>
        <v>0.57077895030801606</v>
      </c>
      <c r="M147" s="1726">
        <f t="shared" si="19"/>
        <v>0.71861230090887829</v>
      </c>
      <c r="N147" s="1726">
        <f t="shared" si="19"/>
        <v>0.81537855364100809</v>
      </c>
      <c r="O147" s="1726">
        <f t="shared" si="19"/>
        <v>0.91840454486573297</v>
      </c>
      <c r="P147" s="1726">
        <f t="shared" si="19"/>
        <v>1.0138920699165108</v>
      </c>
      <c r="Q147" s="1726">
        <f t="shared" si="19"/>
        <v>1.099921829375319</v>
      </c>
      <c r="R147" s="1726">
        <f t="shared" si="19"/>
        <v>1.1430564572199273</v>
      </c>
      <c r="S147" s="1726">
        <f t="shared" si="19"/>
        <v>1.1753179048102371</v>
      </c>
      <c r="T147" s="1726">
        <f t="shared" si="19"/>
        <v>1.2037834327980339</v>
      </c>
      <c r="U147" s="1726">
        <f t="shared" si="19"/>
        <v>1.2199597151399479</v>
      </c>
      <c r="V147" s="1726">
        <f t="shared" si="19"/>
        <v>1.2551806216392776</v>
      </c>
      <c r="W147" s="1726">
        <f t="shared" si="19"/>
        <v>1.2865539388910998</v>
      </c>
      <c r="X147" s="1726">
        <f t="shared" si="19"/>
        <v>1.3225003277710556</v>
      </c>
      <c r="Y147" s="1726">
        <f t="shared" si="19"/>
        <v>1.3420090290171782</v>
      </c>
      <c r="Z147" s="1726">
        <f t="shared" si="19"/>
        <v>1.1707536276758914</v>
      </c>
      <c r="AA147" s="1726">
        <f t="shared" si="19"/>
        <v>1.1184166495883394</v>
      </c>
      <c r="AB147" s="1726">
        <f t="shared" si="19"/>
        <v>1.0675380710002969</v>
      </c>
      <c r="AC147" s="1726">
        <f t="shared" si="19"/>
        <v>1.2752792732097329</v>
      </c>
      <c r="AD147" s="1726">
        <f t="shared" si="19"/>
        <v>1.4140337681348132</v>
      </c>
      <c r="AE147" s="1726">
        <f t="shared" si="19"/>
        <v>1.2991554189853241</v>
      </c>
      <c r="AF147" s="1726">
        <f t="shared" si="19"/>
        <v>1.14971332178335</v>
      </c>
      <c r="AG147" s="1726">
        <f t="shared" si="19"/>
        <v>0.94420100804189</v>
      </c>
      <c r="AH147" s="1726">
        <f t="shared" si="19"/>
        <v>0.99854386556560959</v>
      </c>
      <c r="AI147" s="1726">
        <f t="shared" si="19"/>
        <v>0.9510207126878697</v>
      </c>
      <c r="AJ147" s="1726">
        <f t="shared" si="19"/>
        <v>1.038189858922832</v>
      </c>
      <c r="AK147" s="1726">
        <f t="shared" si="19"/>
        <v>0.96212652090184858</v>
      </c>
      <c r="AL147" s="1726">
        <f t="shared" si="19"/>
        <v>0.93120199342943333</v>
      </c>
      <c r="AM147" s="1726"/>
    </row>
    <row r="148" spans="1:39" ht="15.75" customHeight="1" x14ac:dyDescent="0.25">
      <c r="A148" s="3"/>
      <c r="B148" s="3"/>
      <c r="C148" s="3"/>
      <c r="D148" s="3" t="s">
        <v>1677</v>
      </c>
      <c r="E148" s="3"/>
      <c r="F148" s="1726">
        <f t="shared" si="19"/>
        <v>3.7240846201553312E-6</v>
      </c>
      <c r="G148" s="1726">
        <f t="shared" si="19"/>
        <v>9.1731419801768085E-6</v>
      </c>
      <c r="H148" s="1726">
        <f t="shared" si="19"/>
        <v>1.7587910456692571E-5</v>
      </c>
      <c r="I148" s="1726">
        <f t="shared" si="19"/>
        <v>1.318694796414364E-3</v>
      </c>
      <c r="J148" s="1726">
        <f t="shared" si="19"/>
        <v>3.6741288239772992E-3</v>
      </c>
      <c r="K148" s="1726">
        <f t="shared" si="19"/>
        <v>9.1767881134462714E-3</v>
      </c>
      <c r="L148" s="1726">
        <f t="shared" si="19"/>
        <v>1.7068477805663181E-2</v>
      </c>
      <c r="M148" s="1726">
        <f t="shared" si="19"/>
        <v>2.8260174203529932E-2</v>
      </c>
      <c r="N148" s="1726">
        <f t="shared" si="19"/>
        <v>4.0974398710055072E-2</v>
      </c>
      <c r="O148" s="1726">
        <f t="shared" si="19"/>
        <v>5.8511730201415091E-2</v>
      </c>
      <c r="P148" s="1726">
        <f t="shared" si="19"/>
        <v>7.2150615314809471E-2</v>
      </c>
      <c r="Q148" s="1726">
        <f t="shared" si="19"/>
        <v>8.9370065998305867E-2</v>
      </c>
      <c r="R148" s="1726">
        <f t="shared" si="19"/>
        <v>0.1087828117007227</v>
      </c>
      <c r="S148" s="1726">
        <f t="shared" si="19"/>
        <v>0.1288072809836224</v>
      </c>
      <c r="T148" s="1726">
        <f t="shared" si="19"/>
        <v>0.1472520743030476</v>
      </c>
      <c r="U148" s="1726">
        <f t="shared" si="19"/>
        <v>0.17825234594206199</v>
      </c>
      <c r="V148" s="1726">
        <f t="shared" si="19"/>
        <v>0.2118619930356147</v>
      </c>
      <c r="W148" s="1726">
        <f t="shared" si="19"/>
        <v>0.2496507682504136</v>
      </c>
      <c r="X148" s="1726">
        <f t="shared" si="19"/>
        <v>0.29254300276961481</v>
      </c>
      <c r="Y148" s="1726">
        <f t="shared" si="19"/>
        <v>0.32544677330981392</v>
      </c>
      <c r="Z148" s="1726">
        <f t="shared" si="19"/>
        <v>0.33349639492362038</v>
      </c>
      <c r="AA148" s="1726">
        <f t="shared" si="19"/>
        <v>0.41388764324358202</v>
      </c>
      <c r="AB148" s="1726">
        <f t="shared" si="19"/>
        <v>0.49996887401693491</v>
      </c>
      <c r="AC148" s="1726">
        <f t="shared" si="19"/>
        <v>0.56678410628142217</v>
      </c>
      <c r="AD148" s="1726">
        <f t="shared" si="19"/>
        <v>0.65334285974531225</v>
      </c>
      <c r="AE148" s="1726">
        <f t="shared" si="19"/>
        <v>0.65542007120561996</v>
      </c>
      <c r="AF148" s="1726">
        <f t="shared" si="19"/>
        <v>0.6741416043585654</v>
      </c>
      <c r="AG148" s="1726">
        <f t="shared" si="19"/>
        <v>0.50404953133319441</v>
      </c>
      <c r="AH148" s="1726">
        <f t="shared" si="19"/>
        <v>0.632093783017319</v>
      </c>
      <c r="AI148" s="1726">
        <f t="shared" si="19"/>
        <v>0.55417967019470238</v>
      </c>
      <c r="AJ148" s="1726">
        <f t="shared" si="19"/>
        <v>0.60943851858890463</v>
      </c>
      <c r="AK148" s="1726">
        <f t="shared" si="19"/>
        <v>0.61154888168151578</v>
      </c>
      <c r="AL148" s="1726">
        <f t="shared" si="19"/>
        <v>0.60870672771026657</v>
      </c>
      <c r="AM148" s="1726"/>
    </row>
    <row r="149" spans="1:39" ht="15.75" customHeight="1" x14ac:dyDescent="0.25">
      <c r="A149" s="3"/>
      <c r="B149" s="3"/>
      <c r="C149" s="3"/>
      <c r="D149" s="3" t="s">
        <v>1678</v>
      </c>
      <c r="E149" s="3"/>
      <c r="F149" s="1726">
        <f t="shared" si="19"/>
        <v>0</v>
      </c>
      <c r="G149" s="1726">
        <f t="shared" si="19"/>
        <v>0</v>
      </c>
      <c r="H149" s="1726">
        <f t="shared" si="19"/>
        <v>0</v>
      </c>
      <c r="I149" s="1726">
        <f t="shared" si="19"/>
        <v>0</v>
      </c>
      <c r="J149" s="1726">
        <f t="shared" si="19"/>
        <v>0</v>
      </c>
      <c r="K149" s="1726">
        <f t="shared" si="19"/>
        <v>9.3036146234324768E-6</v>
      </c>
      <c r="L149" s="1726">
        <f t="shared" si="19"/>
        <v>2.0863174107854798E-5</v>
      </c>
      <c r="M149" s="1726">
        <f t="shared" si="19"/>
        <v>3.9285248301842602E-5</v>
      </c>
      <c r="N149" s="1726">
        <f t="shared" si="19"/>
        <v>5.762449576632511E-5</v>
      </c>
      <c r="O149" s="1726">
        <f t="shared" si="19"/>
        <v>8.2822795964448826E-5</v>
      </c>
      <c r="P149" s="1726">
        <f t="shared" si="19"/>
        <v>1.080885242557396E-4</v>
      </c>
      <c r="Q149" s="1726">
        <f t="shared" si="19"/>
        <v>1.313657066049777E-4</v>
      </c>
      <c r="R149" s="1726">
        <f t="shared" si="19"/>
        <v>1.5256283657628139E-4</v>
      </c>
      <c r="S149" s="1726">
        <f t="shared" si="19"/>
        <v>1.6903747560248619E-4</v>
      </c>
      <c r="T149" s="1726">
        <f t="shared" si="19"/>
        <v>1.852557722608108E-4</v>
      </c>
      <c r="U149" s="1726">
        <f t="shared" si="19"/>
        <v>2.0359600424150949E-4</v>
      </c>
      <c r="V149" s="1726">
        <f t="shared" si="19"/>
        <v>2.1908588182021951E-4</v>
      </c>
      <c r="W149" s="1726">
        <f t="shared" si="19"/>
        <v>2.3642555806566921E-4</v>
      </c>
      <c r="X149" s="1726">
        <f t="shared" si="19"/>
        <v>2.5156468733034262E-4</v>
      </c>
      <c r="Y149" s="1726">
        <f t="shared" si="19"/>
        <v>2.6969387346895552E-4</v>
      </c>
      <c r="Z149" s="1726">
        <f t="shared" si="19"/>
        <v>2.9085115325012397E-4</v>
      </c>
      <c r="AA149" s="1726">
        <f t="shared" si="19"/>
        <v>3.0973479855850972E-4</v>
      </c>
      <c r="AB149" s="1726">
        <f t="shared" si="19"/>
        <v>3.330461144484584E-4</v>
      </c>
      <c r="AC149" s="1726">
        <f t="shared" si="19"/>
        <v>3.5354917845680422E-4</v>
      </c>
      <c r="AD149" s="1726">
        <f t="shared" si="19"/>
        <v>3.7605786330928268E-4</v>
      </c>
      <c r="AE149" s="1726">
        <f t="shared" si="19"/>
        <v>4.0035265374947169E-4</v>
      </c>
      <c r="AF149" s="1726">
        <f t="shared" si="19"/>
        <v>4.2387287872683359E-4</v>
      </c>
      <c r="AG149" s="1726">
        <f t="shared" si="19"/>
        <v>4.5009971253825049E-4</v>
      </c>
      <c r="AH149" s="1726">
        <f t="shared" si="19"/>
        <v>4.7619198320438021E-4</v>
      </c>
      <c r="AI149" s="1726">
        <f t="shared" si="19"/>
        <v>5.0446574040930326E-4</v>
      </c>
      <c r="AJ149" s="1726">
        <f t="shared" si="19"/>
        <v>5.3214126222195246E-4</v>
      </c>
      <c r="AK149" s="1726">
        <f t="shared" si="19"/>
        <v>5.5199864253537782E-4</v>
      </c>
      <c r="AL149" s="1726">
        <f t="shared" si="19"/>
        <v>5.6954536712445038E-4</v>
      </c>
      <c r="AM149" s="1726"/>
    </row>
    <row r="150" spans="1:39" ht="15.75" customHeight="1" x14ac:dyDescent="0.25">
      <c r="A150" s="3"/>
      <c r="B150" s="3"/>
      <c r="C150" s="3"/>
      <c r="D150" s="3" t="s">
        <v>1679</v>
      </c>
      <c r="E150" s="3"/>
      <c r="F150" s="1726">
        <f t="shared" si="19"/>
        <v>0</v>
      </c>
      <c r="G150" s="1726">
        <f t="shared" si="19"/>
        <v>0</v>
      </c>
      <c r="H150" s="1726">
        <f t="shared" si="19"/>
        <v>0</v>
      </c>
      <c r="I150" s="1726">
        <f t="shared" si="19"/>
        <v>1.094958153041211E-3</v>
      </c>
      <c r="J150" s="1726">
        <f t="shared" si="19"/>
        <v>3.3027020891527839E-3</v>
      </c>
      <c r="K150" s="1726">
        <f t="shared" si="19"/>
        <v>5.4743631396104624E-3</v>
      </c>
      <c r="L150" s="1726">
        <f t="shared" si="19"/>
        <v>6.8121740657830568E-3</v>
      </c>
      <c r="M150" s="1726">
        <f t="shared" si="19"/>
        <v>8.3410670284168095E-3</v>
      </c>
      <c r="N150" s="1726">
        <f t="shared" si="19"/>
        <v>9.9572823704379143E-3</v>
      </c>
      <c r="O150" s="1726">
        <f t="shared" si="19"/>
        <v>1.168215537078551E-2</v>
      </c>
      <c r="P150" s="1726">
        <f t="shared" si="19"/>
        <v>1.3329499808776166E-2</v>
      </c>
      <c r="Q150" s="1726">
        <f t="shared" si="19"/>
        <v>1.492037867650221E-2</v>
      </c>
      <c r="R150" s="1726">
        <f t="shared" si="19"/>
        <v>1.6438992374813818E-2</v>
      </c>
      <c r="S150" s="1726">
        <f t="shared" si="19"/>
        <v>1.765665900123696E-2</v>
      </c>
      <c r="T150" s="1726">
        <f t="shared" si="19"/>
        <v>1.8547113209606399E-2</v>
      </c>
      <c r="U150" s="1726">
        <f t="shared" si="19"/>
        <v>1.9104708688916918E-2</v>
      </c>
      <c r="V150" s="1726">
        <f t="shared" si="19"/>
        <v>1.9508098767425455E-2</v>
      </c>
      <c r="W150" s="1726">
        <f t="shared" si="19"/>
        <v>1.9767586817745951E-2</v>
      </c>
      <c r="X150" s="1726">
        <f t="shared" si="19"/>
        <v>1.993421451922665E-2</v>
      </c>
      <c r="Y150" s="1726">
        <f t="shared" si="19"/>
        <v>2.0052653708937083E-2</v>
      </c>
      <c r="Z150" s="1726">
        <f t="shared" si="19"/>
        <v>2.0231674925075455E-2</v>
      </c>
      <c r="AA150" s="1726">
        <f t="shared" si="19"/>
        <v>2.0413129257294611E-2</v>
      </c>
      <c r="AB150" s="1726">
        <f t="shared" si="19"/>
        <v>2.0583513151279879E-2</v>
      </c>
      <c r="AC150" s="1726">
        <f t="shared" si="19"/>
        <v>2.0981077544913854E-2</v>
      </c>
      <c r="AD150" s="1726">
        <f t="shared" si="19"/>
        <v>2.0336016869175022E-2</v>
      </c>
      <c r="AE150" s="1726">
        <f t="shared" si="19"/>
        <v>1.8312702314863333E-2</v>
      </c>
      <c r="AF150" s="1726">
        <f t="shared" si="19"/>
        <v>1.7082077012691398E-2</v>
      </c>
      <c r="AG150" s="1726">
        <f t="shared" si="19"/>
        <v>1.5882723113878155E-2</v>
      </c>
      <c r="AH150" s="1726">
        <f t="shared" si="19"/>
        <v>1.4583039348503281E-2</v>
      </c>
      <c r="AI150" s="1726">
        <f t="shared" si="19"/>
        <v>1.3401369922684994E-2</v>
      </c>
      <c r="AJ150" s="1726">
        <f t="shared" si="19"/>
        <v>1.2489218392264533E-2</v>
      </c>
      <c r="AK150" s="1726">
        <f t="shared" si="19"/>
        <v>1.1546807967944583E-2</v>
      </c>
      <c r="AL150" s="1726">
        <f t="shared" si="19"/>
        <v>1.0679883275602767E-2</v>
      </c>
      <c r="AM150" s="1726"/>
    </row>
    <row r="151" spans="1:39" ht="15.75" customHeight="1" x14ac:dyDescent="0.25">
      <c r="A151" s="3"/>
      <c r="B151" s="3"/>
      <c r="C151" s="3"/>
      <c r="D151" s="3" t="s">
        <v>1680</v>
      </c>
      <c r="E151" s="3"/>
      <c r="F151" s="1726">
        <f t="shared" si="19"/>
        <v>0</v>
      </c>
      <c r="G151" s="1726">
        <f t="shared" si="19"/>
        <v>0</v>
      </c>
      <c r="H151" s="1726">
        <f t="shared" si="19"/>
        <v>0</v>
      </c>
      <c r="I151" s="1726">
        <f t="shared" si="19"/>
        <v>0</v>
      </c>
      <c r="J151" s="1726">
        <f t="shared" si="19"/>
        <v>0</v>
      </c>
      <c r="K151" s="1726">
        <f t="shared" si="19"/>
        <v>0</v>
      </c>
      <c r="L151" s="1726">
        <f t="shared" si="19"/>
        <v>3.0469016963371702E-6</v>
      </c>
      <c r="M151" s="1726">
        <f t="shared" si="19"/>
        <v>8.6518110182798053E-6</v>
      </c>
      <c r="N151" s="1726">
        <f t="shared" si="19"/>
        <v>1.844517591183488E-5</v>
      </c>
      <c r="O151" s="1726">
        <f t="shared" si="19"/>
        <v>3.5786809654347221E-5</v>
      </c>
      <c r="P151" s="1726">
        <f t="shared" si="19"/>
        <v>1.651955955267768E-4</v>
      </c>
      <c r="Q151" s="1726">
        <f t="shared" si="19"/>
        <v>4.1358921209775327E-4</v>
      </c>
      <c r="R151" s="1726">
        <f t="shared" si="19"/>
        <v>8.1173569754559188E-4</v>
      </c>
      <c r="S151" s="1726">
        <f t="shared" si="19"/>
        <v>1.3502779681188589E-3</v>
      </c>
      <c r="T151" s="1726">
        <f t="shared" si="19"/>
        <v>2.0675901294666841E-3</v>
      </c>
      <c r="U151" s="1726">
        <f t="shared" si="19"/>
        <v>3.080495081027423E-3</v>
      </c>
      <c r="V151" s="1726">
        <f t="shared" si="19"/>
        <v>5.012036933085804E-3</v>
      </c>
      <c r="W151" s="1726">
        <f t="shared" si="19"/>
        <v>7.1895367644093308E-3</v>
      </c>
      <c r="X151" s="1726">
        <f t="shared" si="19"/>
        <v>9.4723877763723281E-3</v>
      </c>
      <c r="Y151" s="1726">
        <f t="shared" si="19"/>
        <v>1.2203848200017841E-2</v>
      </c>
      <c r="Z151" s="1726">
        <f t="shared" si="19"/>
        <v>1.7058702289811462E-2</v>
      </c>
      <c r="AA151" s="1726">
        <f t="shared" si="19"/>
        <v>3.0748644235615671E-2</v>
      </c>
      <c r="AB151" s="1726">
        <f t="shared" si="19"/>
        <v>3.2645818495296318E-2</v>
      </c>
      <c r="AC151" s="1726">
        <f t="shared" si="19"/>
        <v>4.8837634649829952E-2</v>
      </c>
      <c r="AD151" s="1726">
        <f t="shared" si="19"/>
        <v>6.0687208721937488E-2</v>
      </c>
      <c r="AE151" s="1726">
        <f t="shared" si="19"/>
        <v>7.3553730118908534E-2</v>
      </c>
      <c r="AF151" s="1726">
        <f t="shared" si="19"/>
        <v>8.4213997171858915E-2</v>
      </c>
      <c r="AG151" s="1726">
        <f t="shared" si="19"/>
        <v>8.0964713183116183E-2</v>
      </c>
      <c r="AH151" s="1726">
        <f t="shared" si="19"/>
        <v>9.7705256137823007E-2</v>
      </c>
      <c r="AI151" s="1726">
        <f t="shared" si="19"/>
        <v>0.1037901447480068</v>
      </c>
      <c r="AJ151" s="1726">
        <f t="shared" si="19"/>
        <v>0.1381303149748907</v>
      </c>
      <c r="AK151" s="1726">
        <f t="shared" si="19"/>
        <v>0.16864826115628431</v>
      </c>
      <c r="AL151" s="1726">
        <f t="shared" si="19"/>
        <v>0.1885012873241986</v>
      </c>
      <c r="AM151" s="1726"/>
    </row>
    <row r="152" spans="1:39" ht="15.75" customHeight="1" x14ac:dyDescent="0.25">
      <c r="A152" s="3"/>
      <c r="B152" s="3"/>
      <c r="C152" s="3"/>
      <c r="D152" s="3" t="s">
        <v>1681</v>
      </c>
      <c r="E152" s="3"/>
      <c r="F152" s="1726">
        <f t="shared" si="19"/>
        <v>4.7799061303962012E-3</v>
      </c>
      <c r="G152" s="1726">
        <f t="shared" si="19"/>
        <v>1.0063064170992987E-2</v>
      </c>
      <c r="H152" s="1726">
        <f t="shared" si="19"/>
        <v>1.0121952622423285E-2</v>
      </c>
      <c r="I152" s="1726">
        <f t="shared" si="19"/>
        <v>1.0277569196453418E-2</v>
      </c>
      <c r="J152" s="1726">
        <f t="shared" si="19"/>
        <v>1.1054365180283189E-2</v>
      </c>
      <c r="K152" s="1726">
        <f t="shared" si="19"/>
        <v>2.4079612325935897E-2</v>
      </c>
      <c r="L152" s="1726">
        <f t="shared" si="19"/>
        <v>3.9032626489515901E-2</v>
      </c>
      <c r="M152" s="1726">
        <f t="shared" si="19"/>
        <v>4.8525526869761776E-2</v>
      </c>
      <c r="N152" s="1726">
        <f t="shared" si="19"/>
        <v>6.1510154373347108E-2</v>
      </c>
      <c r="O152" s="1726">
        <f t="shared" si="19"/>
        <v>6.521356967274583E-2</v>
      </c>
      <c r="P152" s="1726">
        <f t="shared" si="19"/>
        <v>6.8124855701185302E-2</v>
      </c>
      <c r="Q152" s="1726">
        <f t="shared" si="19"/>
        <v>7.3909174482029411E-2</v>
      </c>
      <c r="R152" s="1726">
        <f t="shared" si="19"/>
        <v>9.1898280694211548E-2</v>
      </c>
      <c r="S152" s="1726">
        <f t="shared" si="19"/>
        <v>0.11218616720953045</v>
      </c>
      <c r="T152" s="1726">
        <f t="shared" si="19"/>
        <v>0.12081233334864004</v>
      </c>
      <c r="U152" s="1726">
        <f t="shared" si="19"/>
        <v>0.12962208341834908</v>
      </c>
      <c r="V152" s="1726">
        <f t="shared" si="19"/>
        <v>0.13639499854822631</v>
      </c>
      <c r="W152" s="1726">
        <f t="shared" si="19"/>
        <v>0.14443914301242577</v>
      </c>
      <c r="X152" s="1726">
        <f t="shared" si="19"/>
        <v>0.15200494418124483</v>
      </c>
      <c r="Y152" s="1726">
        <f t="shared" si="19"/>
        <v>0.16350602825587535</v>
      </c>
      <c r="Z152" s="1726">
        <f t="shared" si="19"/>
        <v>0.1761068664680159</v>
      </c>
      <c r="AA152" s="1726">
        <f t="shared" si="19"/>
        <v>0.18880506808610562</v>
      </c>
      <c r="AB152" s="1726">
        <f t="shared" si="19"/>
        <v>0.20129233643355085</v>
      </c>
      <c r="AC152" s="1726">
        <f t="shared" si="19"/>
        <v>0.21359172065041793</v>
      </c>
      <c r="AD152" s="1726">
        <f t="shared" ref="AD152:AL152" si="20">SUMIF($D$16:$D$49,$D152,AD$16:AD$49)</f>
        <v>0.22481759650762301</v>
      </c>
      <c r="AE152" s="1726">
        <f t="shared" si="20"/>
        <v>0.24760162556363813</v>
      </c>
      <c r="AF152" s="1726">
        <f t="shared" si="20"/>
        <v>0.26443392305588692</v>
      </c>
      <c r="AG152" s="1726">
        <f t="shared" si="20"/>
        <v>0.28314448226679401</v>
      </c>
      <c r="AH152" s="1726">
        <f t="shared" si="20"/>
        <v>0.29128932994965445</v>
      </c>
      <c r="AI152" s="1726">
        <f t="shared" si="20"/>
        <v>0.29276460851793995</v>
      </c>
      <c r="AJ152" s="1726">
        <f t="shared" si="20"/>
        <v>0.29282951913359256</v>
      </c>
      <c r="AK152" s="1726">
        <f t="shared" si="20"/>
        <v>0.29980647056303189</v>
      </c>
      <c r="AL152" s="1726">
        <f t="shared" si="20"/>
        <v>0.30845442602229906</v>
      </c>
      <c r="AM152" s="1726"/>
    </row>
    <row r="153" spans="1:39" ht="15.75" customHeight="1" x14ac:dyDescent="0.25">
      <c r="A153" s="3"/>
      <c r="B153" s="3"/>
      <c r="C153" s="3"/>
      <c r="D153" s="3" t="s">
        <v>1685</v>
      </c>
      <c r="E153" s="3"/>
      <c r="F153" s="1726">
        <f t="shared" ref="F153:AL154" si="21">SUMIF($D$16:$D$49,$D153,F$16:F$49)</f>
        <v>0</v>
      </c>
      <c r="G153" s="1726">
        <f t="shared" si="21"/>
        <v>0</v>
      </c>
      <c r="H153" s="1726">
        <f t="shared" si="21"/>
        <v>0</v>
      </c>
      <c r="I153" s="1726">
        <f t="shared" si="21"/>
        <v>0</v>
      </c>
      <c r="J153" s="1726">
        <f t="shared" si="21"/>
        <v>4.4884165832836251E-7</v>
      </c>
      <c r="K153" s="1726">
        <f t="shared" si="21"/>
        <v>1.4425854706833569E-6</v>
      </c>
      <c r="L153" s="1726">
        <f t="shared" si="21"/>
        <v>1.303903514699833E-5</v>
      </c>
      <c r="M153" s="1726">
        <f t="shared" si="21"/>
        <v>3.5782524872607343E-5</v>
      </c>
      <c r="N153" s="1726">
        <f t="shared" si="21"/>
        <v>7.034657170195606E-5</v>
      </c>
      <c r="O153" s="1726">
        <f t="shared" si="21"/>
        <v>1.1730201498121869E-4</v>
      </c>
      <c r="P153" s="1726">
        <f t="shared" si="21"/>
        <v>1.77164732379384E-4</v>
      </c>
      <c r="Q153" s="1726">
        <f t="shared" si="21"/>
        <v>2.3890872183542661E-4</v>
      </c>
      <c r="R153" s="1726">
        <f t="shared" si="21"/>
        <v>2.9247235308203383E-4</v>
      </c>
      <c r="S153" s="1726">
        <f t="shared" si="21"/>
        <v>3.3651268041300341E-4</v>
      </c>
      <c r="T153" s="1726">
        <f t="shared" si="21"/>
        <v>3.7015761635671358E-4</v>
      </c>
      <c r="U153" s="1726">
        <f t="shared" si="21"/>
        <v>3.9282960897999531E-4</v>
      </c>
      <c r="V153" s="1726">
        <f t="shared" si="21"/>
        <v>4.033571200107217E-4</v>
      </c>
      <c r="W153" s="1726">
        <f t="shared" si="21"/>
        <v>4.1350030420114872E-4</v>
      </c>
      <c r="X153" s="1726">
        <f t="shared" si="21"/>
        <v>4.2435406911593812E-4</v>
      </c>
      <c r="Y153" s="1726">
        <f t="shared" si="21"/>
        <v>4.3680144684259792E-4</v>
      </c>
      <c r="Z153" s="1726">
        <f t="shared" si="21"/>
        <v>4.508120476563058E-4</v>
      </c>
      <c r="AA153" s="1726">
        <f t="shared" si="21"/>
        <v>4.6517504069101248E-4</v>
      </c>
      <c r="AB153" s="1726">
        <f t="shared" si="21"/>
        <v>4.7968976394474697E-4</v>
      </c>
      <c r="AC153" s="1726">
        <f t="shared" si="21"/>
        <v>4.9384717915311894E-4</v>
      </c>
      <c r="AD153" s="1726">
        <f t="shared" si="21"/>
        <v>5.0801962985677228E-4</v>
      </c>
      <c r="AE153" s="1726">
        <f t="shared" si="21"/>
        <v>5.2206059846655298E-4</v>
      </c>
      <c r="AF153" s="1726">
        <f t="shared" si="21"/>
        <v>5.3563902659882739E-4</v>
      </c>
      <c r="AG153" s="1726">
        <f t="shared" si="21"/>
        <v>5.5035359376891116E-4</v>
      </c>
      <c r="AH153" s="1726">
        <f t="shared" si="21"/>
        <v>5.6542619143398667E-4</v>
      </c>
      <c r="AI153" s="1726">
        <f t="shared" si="21"/>
        <v>5.8101252390705045E-4</v>
      </c>
      <c r="AJ153" s="1726">
        <f t="shared" si="21"/>
        <v>5.4511363290616125E-4</v>
      </c>
      <c r="AK153" s="1726">
        <f t="shared" si="21"/>
        <v>5.0178884012394391E-4</v>
      </c>
      <c r="AL153" s="1726">
        <f t="shared" si="21"/>
        <v>4.5545000749478819E-4</v>
      </c>
      <c r="AM153" s="1726"/>
    </row>
    <row r="154" spans="1:39" ht="15.75" customHeight="1" x14ac:dyDescent="0.25">
      <c r="A154" s="3"/>
      <c r="B154" s="3"/>
      <c r="C154" s="3"/>
      <c r="D154" s="3" t="s">
        <v>1684</v>
      </c>
      <c r="E154" s="3"/>
      <c r="F154" s="1726">
        <f t="shared" si="21"/>
        <v>0</v>
      </c>
      <c r="G154" s="1726">
        <f t="shared" si="21"/>
        <v>0</v>
      </c>
      <c r="H154" s="1726">
        <f t="shared" si="21"/>
        <v>0</v>
      </c>
      <c r="I154" s="1726">
        <f t="shared" si="21"/>
        <v>0</v>
      </c>
      <c r="J154" s="1726">
        <f t="shared" si="21"/>
        <v>1.730075103327022E-6</v>
      </c>
      <c r="K154" s="1726">
        <f t="shared" si="21"/>
        <v>8.4656947013083059E-3</v>
      </c>
      <c r="L154" s="1726">
        <f t="shared" si="21"/>
        <v>2.0348098606656748E-2</v>
      </c>
      <c r="M154" s="1726">
        <f t="shared" si="21"/>
        <v>2.3912308190053948E-2</v>
      </c>
      <c r="N154" s="1726">
        <f t="shared" si="21"/>
        <v>2.4380728978988422E-2</v>
      </c>
      <c r="O154" s="1726">
        <f t="shared" si="21"/>
        <v>2.4892452553644376E-2</v>
      </c>
      <c r="P154" s="1726">
        <f t="shared" si="21"/>
        <v>1.9782892878697736E-2</v>
      </c>
      <c r="Q154" s="1726">
        <f t="shared" si="21"/>
        <v>1.4496324674131257E-2</v>
      </c>
      <c r="R154" s="1726">
        <f t="shared" si="21"/>
        <v>8.9657137557472757E-3</v>
      </c>
      <c r="S154" s="1726">
        <f t="shared" si="21"/>
        <v>3.1023941639133279E-3</v>
      </c>
      <c r="T154" s="1726">
        <f t="shared" si="21"/>
        <v>3.1572046912755293E-3</v>
      </c>
      <c r="U154" s="1726">
        <f t="shared" si="21"/>
        <v>2.6495933988572584E-3</v>
      </c>
      <c r="V154" s="1726">
        <f t="shared" si="21"/>
        <v>2.1159046653234301E-3</v>
      </c>
      <c r="W154" s="1726">
        <f t="shared" si="21"/>
        <v>1.5642516166701867E-3</v>
      </c>
      <c r="X154" s="1726">
        <f t="shared" si="21"/>
        <v>9.9538097420498938E-4</v>
      </c>
      <c r="Y154" s="1726">
        <f t="shared" si="21"/>
        <v>4.0866952997223088E-4</v>
      </c>
      <c r="Z154" s="1726">
        <f t="shared" si="21"/>
        <v>4.0949655637933401E-4</v>
      </c>
      <c r="AA154" s="1726">
        <f t="shared" si="21"/>
        <v>4.102413353428481E-4</v>
      </c>
      <c r="AB154" s="1726">
        <f t="shared" si="21"/>
        <v>4.1069513067581867E-4</v>
      </c>
      <c r="AC154" s="1726">
        <f t="shared" si="21"/>
        <v>4.1049918227609259E-4</v>
      </c>
      <c r="AD154" s="1726">
        <f t="shared" si="21"/>
        <v>4.1000958621623801E-4</v>
      </c>
      <c r="AE154" s="1726">
        <f t="shared" si="21"/>
        <v>4.0906078520429898E-4</v>
      </c>
      <c r="AF154" s="1726">
        <f t="shared" si="21"/>
        <v>4.0747959881769658E-4</v>
      </c>
      <c r="AG154" s="1726">
        <f t="shared" si="21"/>
        <v>4.0646834581289058E-4</v>
      </c>
      <c r="AH154" s="1726">
        <f t="shared" si="21"/>
        <v>4.0545808953945921E-4</v>
      </c>
      <c r="AI154" s="1726">
        <f t="shared" si="21"/>
        <v>4.0449205830880489E-4</v>
      </c>
      <c r="AJ154" s="1726">
        <f t="shared" si="21"/>
        <v>4.0837034701596048E-4</v>
      </c>
      <c r="AK154" s="1726">
        <f t="shared" si="21"/>
        <v>4.0785503540037322E-4</v>
      </c>
      <c r="AL154" s="1726">
        <f t="shared" si="21"/>
        <v>4.0573062202426801E-4</v>
      </c>
      <c r="AM154" s="1726"/>
    </row>
    <row r="155" spans="1:39" ht="15.75" customHeight="1" x14ac:dyDescent="0.25">
      <c r="A155" s="3"/>
      <c r="B155" s="3"/>
      <c r="C155" s="3"/>
      <c r="D155" s="3"/>
      <c r="E155" s="3"/>
      <c r="F155" s="1726"/>
      <c r="G155" s="1726"/>
      <c r="H155" s="1726"/>
      <c r="I155" s="1726"/>
      <c r="J155" s="1726"/>
      <c r="K155" s="1726"/>
      <c r="L155" s="1726"/>
      <c r="M155" s="1726"/>
      <c r="N155" s="1726"/>
      <c r="O155" s="1726"/>
      <c r="P155" s="1726"/>
      <c r="Q155" s="1726"/>
      <c r="R155" s="1726"/>
      <c r="S155" s="1726"/>
      <c r="T155" s="1726"/>
      <c r="U155" s="1726"/>
      <c r="V155" s="1726"/>
      <c r="W155" s="1726"/>
      <c r="X155" s="1726"/>
      <c r="Y155" s="1726"/>
      <c r="Z155" s="1726"/>
      <c r="AA155" s="1726"/>
      <c r="AB155" s="1726"/>
      <c r="AC155" s="1726"/>
      <c r="AD155" s="1726"/>
      <c r="AE155" s="1726"/>
      <c r="AF155" s="1726"/>
      <c r="AG155" s="1726"/>
      <c r="AH155" s="1726"/>
      <c r="AI155" s="1726"/>
      <c r="AJ155" s="1726"/>
      <c r="AK155" s="1726"/>
      <c r="AL155" s="1726"/>
      <c r="AM155" s="1726"/>
    </row>
    <row r="156" spans="1:39" ht="15.75" customHeight="1" x14ac:dyDescent="0.25">
      <c r="A156" s="3"/>
      <c r="B156" s="3"/>
      <c r="C156" s="3"/>
      <c r="D156" s="3" t="s">
        <v>3</v>
      </c>
      <c r="E156" s="3"/>
      <c r="F156" s="1726">
        <f t="shared" ref="F156:AL156" si="22">F145</f>
        <v>2.6131014791080082E-7</v>
      </c>
      <c r="G156" s="1726">
        <f t="shared" si="22"/>
        <v>4.1898124909234098E-7</v>
      </c>
      <c r="H156" s="1726">
        <f t="shared" si="22"/>
        <v>5.8111866987456702E-7</v>
      </c>
      <c r="I156" s="1726">
        <f t="shared" si="22"/>
        <v>7.4840461171582204E-7</v>
      </c>
      <c r="J156" s="1726">
        <f t="shared" si="22"/>
        <v>9.2201719908830302E-7</v>
      </c>
      <c r="K156" s="1726">
        <f t="shared" si="22"/>
        <v>2.3052706395561522E-6</v>
      </c>
      <c r="L156" s="1726">
        <f t="shared" si="22"/>
        <v>4.4136082214367739E-6</v>
      </c>
      <c r="M156" s="1726">
        <f t="shared" si="22"/>
        <v>6.5946290152229707E-6</v>
      </c>
      <c r="N156" s="1726">
        <f t="shared" si="22"/>
        <v>8.8565132283437395E-6</v>
      </c>
      <c r="O156" s="1726">
        <f t="shared" si="22"/>
        <v>1.1509845363912519E-5</v>
      </c>
      <c r="P156" s="1726">
        <f t="shared" si="22"/>
        <v>1.2569649352965852E-5</v>
      </c>
      <c r="Q156" s="1726">
        <f t="shared" si="22"/>
        <v>1.3247157241468287E-5</v>
      </c>
      <c r="R156" s="1726">
        <f t="shared" si="22"/>
        <v>1.7288683860185458E-5</v>
      </c>
      <c r="S156" s="1726">
        <f t="shared" si="22"/>
        <v>2.1944993352741679E-5</v>
      </c>
      <c r="T156" s="1726">
        <f t="shared" si="22"/>
        <v>2.3330088569784589E-5</v>
      </c>
      <c r="U156" s="1726">
        <f t="shared" si="22"/>
        <v>2.4713909211711638E-5</v>
      </c>
      <c r="V156" s="1726">
        <f t="shared" si="22"/>
        <v>2.6092421796137101E-5</v>
      </c>
      <c r="W156" s="1726">
        <f t="shared" si="22"/>
        <v>2.7471143032289743E-5</v>
      </c>
      <c r="X156" s="1726">
        <f t="shared" si="22"/>
        <v>2.8923391721581608E-5</v>
      </c>
      <c r="Y156" s="1726">
        <f t="shared" si="22"/>
        <v>3.1802293449473981E-5</v>
      </c>
      <c r="Z156" s="1726">
        <f t="shared" si="22"/>
        <v>3.5335146091815057E-5</v>
      </c>
      <c r="AA156" s="1726">
        <f t="shared" si="22"/>
        <v>3.771742776819257E-5</v>
      </c>
      <c r="AB156" s="1726">
        <f t="shared" si="22"/>
        <v>3.956228490669917E-5</v>
      </c>
      <c r="AC156" s="1726">
        <f t="shared" si="22"/>
        <v>4.1703195498338638E-5</v>
      </c>
      <c r="AD156" s="1726">
        <f t="shared" si="22"/>
        <v>4.4100162870311796E-5</v>
      </c>
      <c r="AE156" s="1726">
        <f t="shared" si="22"/>
        <v>4.6478452427122152E-5</v>
      </c>
      <c r="AF156" s="1726">
        <f t="shared" si="22"/>
        <v>4.9640579107816882E-5</v>
      </c>
      <c r="AG156" s="1726">
        <f t="shared" si="22"/>
        <v>5.2781854283047353E-5</v>
      </c>
      <c r="AH156" s="1726">
        <f t="shared" si="22"/>
        <v>5.6556118564366453E-5</v>
      </c>
      <c r="AI156" s="1726">
        <f t="shared" si="22"/>
        <v>6.0255123344093292E-5</v>
      </c>
      <c r="AJ156" s="1726">
        <f t="shared" si="22"/>
        <v>6.4760276546437561E-5</v>
      </c>
      <c r="AK156" s="1726">
        <f t="shared" si="22"/>
        <v>6.8680952135492248E-5</v>
      </c>
      <c r="AL156" s="1726">
        <f t="shared" si="22"/>
        <v>7.2638169923938342E-5</v>
      </c>
      <c r="AM156" s="1726"/>
    </row>
    <row r="157" spans="1:39" ht="15.75" customHeight="1" x14ac:dyDescent="0.25">
      <c r="A157" s="3"/>
      <c r="B157" s="3"/>
      <c r="C157" s="3"/>
      <c r="D157" s="3" t="s">
        <v>1672</v>
      </c>
      <c r="E157" s="3"/>
      <c r="F157" s="1726">
        <f t="shared" ref="F157:AL157" si="23">SUM(F146:F152)</f>
        <v>4.7857865388024291E-3</v>
      </c>
      <c r="G157" s="1726">
        <f t="shared" si="23"/>
        <v>1.0077548756257193E-2</v>
      </c>
      <c r="H157" s="1726">
        <f t="shared" si="23"/>
        <v>2.7454846765031453E-2</v>
      </c>
      <c r="I157" s="1726">
        <f t="shared" si="23"/>
        <v>8.9449206978261073E-2</v>
      </c>
      <c r="J157" s="1726">
        <f t="shared" si="23"/>
        <v>0.21727649529520757</v>
      </c>
      <c r="K157" s="1726">
        <f t="shared" si="23"/>
        <v>0.46950787988810433</v>
      </c>
      <c r="L157" s="1726">
        <f t="shared" si="23"/>
        <v>0.6512959753582771</v>
      </c>
      <c r="M157" s="1726">
        <f t="shared" si="23"/>
        <v>0.83094933227733447</v>
      </c>
      <c r="N157" s="1726">
        <f t="shared" si="23"/>
        <v>0.96346534503167647</v>
      </c>
      <c r="O157" s="1726">
        <f t="shared" si="23"/>
        <v>1.1005547052931088</v>
      </c>
      <c r="P157" s="1726">
        <f t="shared" si="23"/>
        <v>1.2235828531297652</v>
      </c>
      <c r="Q157" s="1726">
        <f t="shared" si="23"/>
        <v>1.3467147742253325</v>
      </c>
      <c r="R157" s="1726">
        <f t="shared" si="23"/>
        <v>1.4439096170736352</v>
      </c>
      <c r="S157" s="1726">
        <f t="shared" si="23"/>
        <v>1.534403684441358</v>
      </c>
      <c r="T157" s="1726">
        <f t="shared" si="23"/>
        <v>1.6082141820355442</v>
      </c>
      <c r="U157" s="1726">
        <f t="shared" si="23"/>
        <v>1.6954898163201382</v>
      </c>
      <c r="V157" s="1726">
        <f t="shared" si="23"/>
        <v>1.8112400446937782</v>
      </c>
      <c r="W157" s="1726">
        <f t="shared" si="23"/>
        <v>1.9395785224919528</v>
      </c>
      <c r="X157" s="1726">
        <f t="shared" si="23"/>
        <v>2.0806107855625049</v>
      </c>
      <c r="Y157" s="1726">
        <f t="shared" si="23"/>
        <v>2.1420877411515127</v>
      </c>
      <c r="Z157" s="1726">
        <f t="shared" si="23"/>
        <v>2.0400422710103445</v>
      </c>
      <c r="AA157" s="1726">
        <f t="shared" si="23"/>
        <v>2.1699973545073417</v>
      </c>
      <c r="AB157" s="1726">
        <f t="shared" si="23"/>
        <v>2.306985444929452</v>
      </c>
      <c r="AC157" s="1726">
        <f t="shared" si="23"/>
        <v>2.6808818075841065</v>
      </c>
      <c r="AD157" s="1726">
        <f t="shared" si="23"/>
        <v>3.0826117887529034</v>
      </c>
      <c r="AE157" s="1726">
        <f t="shared" si="23"/>
        <v>2.9971826033221327</v>
      </c>
      <c r="AF157" s="1726">
        <f t="shared" si="23"/>
        <v>3.0294704655916154</v>
      </c>
      <c r="AG157" s="1726">
        <f t="shared" si="23"/>
        <v>2.5857497024501561</v>
      </c>
      <c r="AH157" s="1726">
        <f t="shared" si="23"/>
        <v>2.9316799623912022</v>
      </c>
      <c r="AI157" s="1726">
        <f t="shared" si="23"/>
        <v>2.7889103746407504</v>
      </c>
      <c r="AJ157" s="1726">
        <f t="shared" si="23"/>
        <v>3.140421090378827</v>
      </c>
      <c r="AK157" s="1726">
        <f t="shared" si="23"/>
        <v>3.2594567684653413</v>
      </c>
      <c r="AL157" s="1726">
        <f t="shared" si="23"/>
        <v>3.3583853759843847</v>
      </c>
      <c r="AM157" s="1726"/>
    </row>
    <row r="158" spans="1:39" ht="15.75" customHeight="1" x14ac:dyDescent="0.25">
      <c r="A158" s="3"/>
      <c r="B158" s="3"/>
      <c r="C158" s="3"/>
      <c r="D158" s="3" t="s">
        <v>1683</v>
      </c>
      <c r="E158" s="3"/>
      <c r="F158" s="1726">
        <f t="shared" ref="F158:AL158" si="24">SUM(F153:F154)</f>
        <v>0</v>
      </c>
      <c r="G158" s="1726">
        <f t="shared" si="24"/>
        <v>0</v>
      </c>
      <c r="H158" s="1726">
        <f t="shared" si="24"/>
        <v>0</v>
      </c>
      <c r="I158" s="1726">
        <f t="shared" si="24"/>
        <v>0</v>
      </c>
      <c r="J158" s="1726">
        <f t="shared" si="24"/>
        <v>2.1789167616553847E-6</v>
      </c>
      <c r="K158" s="1726">
        <f t="shared" si="24"/>
        <v>8.467137286778989E-3</v>
      </c>
      <c r="L158" s="1726">
        <f t="shared" si="24"/>
        <v>2.0361137641803747E-2</v>
      </c>
      <c r="M158" s="1726">
        <f t="shared" si="24"/>
        <v>2.3948090714926557E-2</v>
      </c>
      <c r="N158" s="1726">
        <f t="shared" si="24"/>
        <v>2.4451075550690378E-2</v>
      </c>
      <c r="O158" s="1726">
        <f t="shared" si="24"/>
        <v>2.5009754568625593E-2</v>
      </c>
      <c r="P158" s="1726">
        <f t="shared" si="24"/>
        <v>1.9960057611077119E-2</v>
      </c>
      <c r="Q158" s="1726">
        <f t="shared" si="24"/>
        <v>1.4735233395966683E-2</v>
      </c>
      <c r="R158" s="1726">
        <f t="shared" si="24"/>
        <v>9.25818610882931E-3</v>
      </c>
      <c r="S158" s="1726">
        <f t="shared" si="24"/>
        <v>3.4389068443263313E-3</v>
      </c>
      <c r="T158" s="1726">
        <f t="shared" si="24"/>
        <v>3.5273623076322426E-3</v>
      </c>
      <c r="U158" s="1726">
        <f t="shared" si="24"/>
        <v>3.0424230078372537E-3</v>
      </c>
      <c r="V158" s="1726">
        <f t="shared" si="24"/>
        <v>2.5192617853341519E-3</v>
      </c>
      <c r="W158" s="1726">
        <f t="shared" si="24"/>
        <v>1.9777519208713356E-3</v>
      </c>
      <c r="X158" s="1726">
        <f t="shared" si="24"/>
        <v>1.4197350433209275E-3</v>
      </c>
      <c r="Y158" s="1726">
        <f t="shared" si="24"/>
        <v>8.4547097681482875E-4</v>
      </c>
      <c r="Z158" s="1726">
        <f t="shared" si="24"/>
        <v>8.6030860403563982E-4</v>
      </c>
      <c r="AA158" s="1726">
        <f t="shared" si="24"/>
        <v>8.7541637603386058E-4</v>
      </c>
      <c r="AB158" s="1726">
        <f t="shared" si="24"/>
        <v>8.903848946205657E-4</v>
      </c>
      <c r="AC158" s="1726">
        <f t="shared" si="24"/>
        <v>9.0434636142921153E-4</v>
      </c>
      <c r="AD158" s="1726">
        <f t="shared" si="24"/>
        <v>9.1802921607301029E-4</v>
      </c>
      <c r="AE158" s="1726">
        <f t="shared" si="24"/>
        <v>9.3112138367085196E-4</v>
      </c>
      <c r="AF158" s="1726">
        <f t="shared" si="24"/>
        <v>9.4311862541652397E-4</v>
      </c>
      <c r="AG158" s="1726">
        <f t="shared" si="24"/>
        <v>9.5682193958180175E-4</v>
      </c>
      <c r="AH158" s="1726">
        <f t="shared" si="24"/>
        <v>9.7088428097344588E-4</v>
      </c>
      <c r="AI158" s="1726">
        <f t="shared" si="24"/>
        <v>9.8550458221585528E-4</v>
      </c>
      <c r="AJ158" s="1726">
        <f t="shared" si="24"/>
        <v>9.5348397992212172E-4</v>
      </c>
      <c r="AK158" s="1726">
        <f t="shared" si="24"/>
        <v>9.0964387552431713E-4</v>
      </c>
      <c r="AL158" s="1726">
        <f t="shared" si="24"/>
        <v>8.6118062951905626E-4</v>
      </c>
      <c r="AM158" s="1726"/>
    </row>
    <row r="159" spans="1:39" ht="15.75" customHeight="1" x14ac:dyDescent="0.25">
      <c r="A159" s="3"/>
      <c r="B159" s="3"/>
      <c r="C159" s="3"/>
      <c r="D159" s="3"/>
      <c r="E159" s="3"/>
      <c r="F159" s="1726"/>
      <c r="G159" s="1726"/>
      <c r="H159" s="1726"/>
      <c r="I159" s="1726"/>
      <c r="J159" s="1726"/>
      <c r="K159" s="1726"/>
      <c r="L159" s="1726"/>
      <c r="M159" s="1726"/>
      <c r="N159" s="1726"/>
      <c r="O159" s="1726"/>
      <c r="P159" s="1726"/>
      <c r="Q159" s="1726"/>
      <c r="R159" s="1726"/>
      <c r="S159" s="1726"/>
      <c r="T159" s="1726"/>
      <c r="U159" s="1726"/>
      <c r="V159" s="1726"/>
      <c r="W159" s="1726"/>
      <c r="X159" s="1726"/>
      <c r="Y159" s="1726"/>
      <c r="Z159" s="1726"/>
      <c r="AA159" s="1726"/>
      <c r="AB159" s="1726"/>
      <c r="AC159" s="1726"/>
      <c r="AD159" s="1726"/>
      <c r="AE159" s="1726"/>
      <c r="AF159" s="1726"/>
      <c r="AG159" s="1726"/>
      <c r="AH159" s="1726"/>
      <c r="AI159" s="1726"/>
      <c r="AJ159" s="1726"/>
      <c r="AK159" s="1726"/>
      <c r="AL159" s="1726"/>
      <c r="AM159" s="1726"/>
    </row>
    <row r="160" spans="1:39" ht="15.75" customHeight="1" x14ac:dyDescent="0.25">
      <c r="A160" s="3"/>
      <c r="B160" s="3"/>
      <c r="C160" s="3"/>
      <c r="D160" s="3" t="s">
        <v>1739</v>
      </c>
      <c r="E160" s="3"/>
      <c r="F160" s="1726">
        <f t="shared" ref="F160:AL160" si="25">SUM(F156:F158)</f>
        <v>4.7860478489503396E-3</v>
      </c>
      <c r="G160" s="1726">
        <f t="shared" si="25"/>
        <v>1.0077967737506285E-2</v>
      </c>
      <c r="H160" s="1726">
        <f t="shared" si="25"/>
        <v>2.7455427883701328E-2</v>
      </c>
      <c r="I160" s="1726">
        <f t="shared" si="25"/>
        <v>8.9449955382872787E-2</v>
      </c>
      <c r="J160" s="1726">
        <f t="shared" si="25"/>
        <v>0.21727959622916831</v>
      </c>
      <c r="K160" s="1726">
        <f t="shared" si="25"/>
        <v>0.47797732244552288</v>
      </c>
      <c r="L160" s="1726">
        <f t="shared" si="25"/>
        <v>0.67166152660830225</v>
      </c>
      <c r="M160" s="1726">
        <f t="shared" si="25"/>
        <v>0.85490401762127621</v>
      </c>
      <c r="N160" s="1726">
        <f t="shared" si="25"/>
        <v>0.98792527709559519</v>
      </c>
      <c r="O160" s="1726">
        <f t="shared" si="25"/>
        <v>1.1255759697070984</v>
      </c>
      <c r="P160" s="1726">
        <f t="shared" si="25"/>
        <v>1.2435554803901954</v>
      </c>
      <c r="Q160" s="1726">
        <f t="shared" si="25"/>
        <v>1.3614632547785406</v>
      </c>
      <c r="R160" s="1726">
        <f t="shared" si="25"/>
        <v>1.4531850918663245</v>
      </c>
      <c r="S160" s="1726">
        <f t="shared" si="25"/>
        <v>1.5378645362790371</v>
      </c>
      <c r="T160" s="1726">
        <f t="shared" si="25"/>
        <v>1.6117648744317461</v>
      </c>
      <c r="U160" s="1726">
        <f t="shared" si="25"/>
        <v>1.6985569532371871</v>
      </c>
      <c r="V160" s="1726">
        <f t="shared" si="25"/>
        <v>1.8137853989009085</v>
      </c>
      <c r="W160" s="1726">
        <f t="shared" si="25"/>
        <v>1.9415837455558564</v>
      </c>
      <c r="X160" s="1726">
        <f t="shared" si="25"/>
        <v>2.0820594439975473</v>
      </c>
      <c r="Y160" s="1726">
        <f t="shared" si="25"/>
        <v>2.1429650144217769</v>
      </c>
      <c r="Z160" s="1726">
        <f t="shared" si="25"/>
        <v>2.0409379147604718</v>
      </c>
      <c r="AA160" s="1726">
        <f t="shared" si="25"/>
        <v>2.1709104883111436</v>
      </c>
      <c r="AB160" s="1726">
        <f t="shared" si="25"/>
        <v>2.3079153921089794</v>
      </c>
      <c r="AC160" s="1726">
        <f t="shared" si="25"/>
        <v>2.6818278571410339</v>
      </c>
      <c r="AD160" s="1726">
        <f t="shared" si="25"/>
        <v>3.0835739181318469</v>
      </c>
      <c r="AE160" s="1726">
        <f t="shared" si="25"/>
        <v>2.9981602031582306</v>
      </c>
      <c r="AF160" s="1726">
        <f t="shared" si="25"/>
        <v>3.0304632247961396</v>
      </c>
      <c r="AG160" s="1726">
        <f t="shared" si="25"/>
        <v>2.5867593062440211</v>
      </c>
      <c r="AH160" s="1726">
        <f t="shared" si="25"/>
        <v>2.93270740279074</v>
      </c>
      <c r="AI160" s="1726">
        <f t="shared" si="25"/>
        <v>2.7899561343463106</v>
      </c>
      <c r="AJ160" s="1726">
        <f t="shared" si="25"/>
        <v>3.1414393346352956</v>
      </c>
      <c r="AK160" s="1726">
        <f t="shared" si="25"/>
        <v>3.2604350932930011</v>
      </c>
      <c r="AL160" s="1726">
        <f t="shared" si="25"/>
        <v>3.3593191947838275</v>
      </c>
      <c r="AM160" s="1726"/>
    </row>
    <row r="161" spans="1:39"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row>
    <row r="162" spans="1:39" ht="15.75" customHeight="1" x14ac:dyDescent="0.25">
      <c r="A162" s="3"/>
      <c r="B162" s="1729" t="s">
        <v>1699</v>
      </c>
      <c r="C162" s="1730"/>
      <c r="D162" s="1730"/>
      <c r="E162" s="1730"/>
      <c r="F162" s="1730"/>
      <c r="G162" s="1730"/>
      <c r="H162" s="1730"/>
      <c r="I162" s="1730"/>
      <c r="J162" s="1730"/>
      <c r="K162" s="1730"/>
      <c r="L162" s="1730"/>
      <c r="M162" s="1730"/>
      <c r="N162" s="1730"/>
      <c r="O162" s="1730"/>
      <c r="P162" s="1730"/>
      <c r="Q162" s="1730"/>
      <c r="R162" s="1730"/>
      <c r="S162" s="1730"/>
      <c r="T162" s="1730"/>
      <c r="U162" s="1730"/>
      <c r="V162" s="1730"/>
      <c r="W162" s="1730"/>
      <c r="X162" s="1730"/>
      <c r="Y162" s="1730"/>
      <c r="Z162" s="1730"/>
      <c r="AA162" s="1730"/>
      <c r="AB162" s="1730"/>
      <c r="AC162" s="1730"/>
      <c r="AD162" s="1730"/>
      <c r="AE162" s="1730"/>
      <c r="AF162" s="1730"/>
      <c r="AG162" s="1730"/>
      <c r="AH162" s="1730"/>
      <c r="AI162" s="1730"/>
      <c r="AJ162" s="1730"/>
      <c r="AK162" s="1730"/>
      <c r="AL162" s="1730"/>
      <c r="AM162" s="1733"/>
    </row>
    <row r="163" spans="1:39" ht="15.75" customHeight="1" x14ac:dyDescent="0.25">
      <c r="A163" s="3"/>
      <c r="B163" s="3"/>
      <c r="C163" s="3"/>
      <c r="D163" s="1714" t="s">
        <v>618</v>
      </c>
      <c r="E163" s="1714"/>
      <c r="F163" s="1714" t="s">
        <v>1635</v>
      </c>
      <c r="G163" s="1714" t="s">
        <v>1636</v>
      </c>
      <c r="H163" s="1714" t="s">
        <v>1637</v>
      </c>
      <c r="I163" s="1714" t="s">
        <v>1638</v>
      </c>
      <c r="J163" s="1714" t="s">
        <v>1639</v>
      </c>
      <c r="K163" s="1714" t="s">
        <v>1640</v>
      </c>
      <c r="L163" s="1714" t="s">
        <v>1641</v>
      </c>
      <c r="M163" s="1714" t="s">
        <v>1642</v>
      </c>
      <c r="N163" s="1714" t="s">
        <v>1643</v>
      </c>
      <c r="O163" s="1714" t="s">
        <v>1644</v>
      </c>
      <c r="P163" s="1714" t="s">
        <v>1645</v>
      </c>
      <c r="Q163" s="1714" t="s">
        <v>1646</v>
      </c>
      <c r="R163" s="1714" t="s">
        <v>1647</v>
      </c>
      <c r="S163" s="1714" t="s">
        <v>1648</v>
      </c>
      <c r="T163" s="1714" t="s">
        <v>1649</v>
      </c>
      <c r="U163" s="1714" t="s">
        <v>1650</v>
      </c>
      <c r="V163" s="1714" t="s">
        <v>1651</v>
      </c>
      <c r="W163" s="1714" t="s">
        <v>1652</v>
      </c>
      <c r="X163" s="1714" t="s">
        <v>1653</v>
      </c>
      <c r="Y163" s="1714" t="s">
        <v>1654</v>
      </c>
      <c r="Z163" s="1714" t="s">
        <v>1655</v>
      </c>
      <c r="AA163" s="1714" t="s">
        <v>1656</v>
      </c>
      <c r="AB163" s="1714" t="s">
        <v>1657</v>
      </c>
      <c r="AC163" s="1714" t="s">
        <v>1658</v>
      </c>
      <c r="AD163" s="1714" t="s">
        <v>1659</v>
      </c>
      <c r="AE163" s="1714" t="s">
        <v>1660</v>
      </c>
      <c r="AF163" s="1714" t="s">
        <v>1661</v>
      </c>
      <c r="AG163" s="1714" t="s">
        <v>1662</v>
      </c>
      <c r="AH163" s="1714" t="s">
        <v>1663</v>
      </c>
      <c r="AI163" s="1714" t="s">
        <v>1664</v>
      </c>
      <c r="AJ163" s="1714" t="s">
        <v>1665</v>
      </c>
      <c r="AK163" s="1714" t="s">
        <v>1666</v>
      </c>
      <c r="AL163" s="1714" t="s">
        <v>1667</v>
      </c>
      <c r="AM163" s="1714"/>
    </row>
    <row r="164" spans="1:39" ht="15.75" customHeight="1" x14ac:dyDescent="0.25">
      <c r="A164" s="3"/>
      <c r="B164" s="3"/>
      <c r="C164" s="3"/>
      <c r="D164" s="3" t="s">
        <v>1669</v>
      </c>
      <c r="E164" s="3"/>
      <c r="F164" s="1726">
        <f t="shared" ref="F164:AL171" si="26">SUMIF($D$16:$D$49,$D164,F$106:F$139)</f>
        <v>2.6131014791080082E-7</v>
      </c>
      <c r="G164" s="1726">
        <f t="shared" si="26"/>
        <v>4.1898124909234098E-7</v>
      </c>
      <c r="H164" s="1726">
        <f t="shared" si="26"/>
        <v>5.8111866987456702E-7</v>
      </c>
      <c r="I164" s="1726">
        <f t="shared" si="26"/>
        <v>7.4840461171582204E-7</v>
      </c>
      <c r="J164" s="1726">
        <f t="shared" si="26"/>
        <v>9.2201719908830302E-7</v>
      </c>
      <c r="K164" s="1726">
        <f t="shared" si="26"/>
        <v>2.3052706395561522E-6</v>
      </c>
      <c r="L164" s="1726">
        <f t="shared" si="26"/>
        <v>4.4136082214367739E-6</v>
      </c>
      <c r="M164" s="1726">
        <f t="shared" si="26"/>
        <v>6.5946290152229707E-6</v>
      </c>
      <c r="N164" s="1726">
        <f t="shared" si="26"/>
        <v>8.8565132283437395E-6</v>
      </c>
      <c r="O164" s="1726">
        <f t="shared" si="26"/>
        <v>1.1509845363912519E-5</v>
      </c>
      <c r="P164" s="1726">
        <f t="shared" si="26"/>
        <v>1.2569649352965852E-5</v>
      </c>
      <c r="Q164" s="1726">
        <f t="shared" si="26"/>
        <v>1.3247157241468287E-5</v>
      </c>
      <c r="R164" s="1726">
        <f t="shared" si="26"/>
        <v>1.7288683860185458E-5</v>
      </c>
      <c r="S164" s="1726">
        <f t="shared" si="26"/>
        <v>2.1944993352741679E-5</v>
      </c>
      <c r="T164" s="1726">
        <f t="shared" si="26"/>
        <v>2.3330088569784589E-5</v>
      </c>
      <c r="U164" s="1726">
        <f t="shared" si="26"/>
        <v>2.4713909211711638E-5</v>
      </c>
      <c r="V164" s="1726">
        <f t="shared" si="26"/>
        <v>2.6092421796137101E-5</v>
      </c>
      <c r="W164" s="1726">
        <f t="shared" si="26"/>
        <v>2.7471143032289743E-5</v>
      </c>
      <c r="X164" s="1726">
        <f t="shared" si="26"/>
        <v>2.8923391721581608E-5</v>
      </c>
      <c r="Y164" s="1726">
        <f t="shared" si="26"/>
        <v>3.1802293449473981E-5</v>
      </c>
      <c r="Z164" s="1726">
        <f t="shared" si="26"/>
        <v>3.5335146091815057E-5</v>
      </c>
      <c r="AA164" s="1726">
        <f t="shared" si="26"/>
        <v>3.771742776819257E-5</v>
      </c>
      <c r="AB164" s="1726">
        <f t="shared" si="26"/>
        <v>3.956228490669917E-5</v>
      </c>
      <c r="AC164" s="1726">
        <f t="shared" si="26"/>
        <v>4.1703195498338638E-5</v>
      </c>
      <c r="AD164" s="1726">
        <f t="shared" si="26"/>
        <v>4.4100162870311796E-5</v>
      </c>
      <c r="AE164" s="1726">
        <f t="shared" si="26"/>
        <v>4.6478452427122152E-5</v>
      </c>
      <c r="AF164" s="1726">
        <f t="shared" si="26"/>
        <v>4.9640579107816882E-5</v>
      </c>
      <c r="AG164" s="1726">
        <f t="shared" si="26"/>
        <v>5.2781854283047353E-5</v>
      </c>
      <c r="AH164" s="1726">
        <f t="shared" si="26"/>
        <v>5.6556118564366453E-5</v>
      </c>
      <c r="AI164" s="1726">
        <f t="shared" si="26"/>
        <v>6.0255123344093292E-5</v>
      </c>
      <c r="AJ164" s="1726">
        <f t="shared" si="26"/>
        <v>6.4760276546437561E-5</v>
      </c>
      <c r="AK164" s="1726">
        <f t="shared" si="26"/>
        <v>6.8680952135492248E-5</v>
      </c>
      <c r="AL164" s="1726">
        <f t="shared" si="26"/>
        <v>7.2638169923938342E-5</v>
      </c>
      <c r="AM164" s="1726"/>
    </row>
    <row r="165" spans="1:39" ht="15.75" customHeight="1" x14ac:dyDescent="0.25">
      <c r="A165" s="3"/>
      <c r="B165" s="3"/>
      <c r="C165" s="3"/>
      <c r="D165" s="3" t="s">
        <v>1673</v>
      </c>
      <c r="E165" s="3"/>
      <c r="F165" s="1726">
        <f t="shared" si="26"/>
        <v>2.4576398438319589E-6</v>
      </c>
      <c r="G165" s="1726">
        <f t="shared" si="26"/>
        <v>6.0536431158403157E-6</v>
      </c>
      <c r="H165" s="1726">
        <f t="shared" si="26"/>
        <v>1.1606811852281037E-5</v>
      </c>
      <c r="I165" s="1726">
        <f t="shared" si="26"/>
        <v>2.1617437682942917E-3</v>
      </c>
      <c r="J165" s="1726">
        <f t="shared" si="26"/>
        <v>5.7490643797077764E-3</v>
      </c>
      <c r="K165" s="1726">
        <f t="shared" si="26"/>
        <v>1.2184976515315473E-2</v>
      </c>
      <c r="L165" s="1726">
        <f t="shared" si="26"/>
        <v>2.0740879790053592E-2</v>
      </c>
      <c r="M165" s="1726">
        <f t="shared" si="26"/>
        <v>3.2046403790466527E-2</v>
      </c>
      <c r="N165" s="1726">
        <f t="shared" si="26"/>
        <v>4.1964553511565236E-2</v>
      </c>
      <c r="O165" s="1726">
        <f t="shared" si="26"/>
        <v>5.5007608030684982E-2</v>
      </c>
      <c r="P165" s="1726">
        <f t="shared" si="26"/>
        <v>6.5848219471590377E-2</v>
      </c>
      <c r="Q165" s="1726">
        <f t="shared" si="26"/>
        <v>8.0284197696066137E-2</v>
      </c>
      <c r="R165" s="1726">
        <f t="shared" si="26"/>
        <v>9.7651490314319564E-2</v>
      </c>
      <c r="S165" s="1726">
        <f t="shared" si="26"/>
        <v>0.11670257891288797</v>
      </c>
      <c r="T165" s="1726">
        <f t="shared" si="26"/>
        <v>0.13634645755665237</v>
      </c>
      <c r="U165" s="1726">
        <f t="shared" si="26"/>
        <v>0.17138741370678845</v>
      </c>
      <c r="V165" s="1726">
        <f t="shared" si="26"/>
        <v>0.21597993848023594</v>
      </c>
      <c r="W165" s="1726">
        <f t="shared" si="26"/>
        <v>0.2734106627002349</v>
      </c>
      <c r="X165" s="1726">
        <f t="shared" si="26"/>
        <v>0.33495338991408496</v>
      </c>
      <c r="Y165" s="1726">
        <f t="shared" si="26"/>
        <v>0.32869493164052588</v>
      </c>
      <c r="Z165" s="1726">
        <f t="shared" si="26"/>
        <v>0.38002193513227206</v>
      </c>
      <c r="AA165" s="1726">
        <f t="shared" si="26"/>
        <v>0.46887623186559685</v>
      </c>
      <c r="AB165" s="1726">
        <f t="shared" si="26"/>
        <v>0.57176434024731582</v>
      </c>
      <c r="AC165" s="1726">
        <f t="shared" si="26"/>
        <v>0.65485918873795113</v>
      </c>
      <c r="AD165" s="1726">
        <f t="shared" si="26"/>
        <v>0.8365073724309593</v>
      </c>
      <c r="AE165" s="1726">
        <f t="shared" si="26"/>
        <v>0.82909865844646979</v>
      </c>
      <c r="AF165" s="1726">
        <f t="shared" si="26"/>
        <v>0.99040588116599526</v>
      </c>
      <c r="AG165" s="1726">
        <f t="shared" si="26"/>
        <v>0.89318413928937135</v>
      </c>
      <c r="AH165" s="1726">
        <f t="shared" si="26"/>
        <v>1.0582766487366537</v>
      </c>
      <c r="AI165" s="1726">
        <f t="shared" si="26"/>
        <v>1.0302690115397393</v>
      </c>
      <c r="AJ165" s="1726">
        <f t="shared" si="26"/>
        <v>1.2373990793215808</v>
      </c>
      <c r="AK165" s="1726">
        <f t="shared" si="26"/>
        <v>1.42194071767986</v>
      </c>
      <c r="AL165" s="1726">
        <f t="shared" si="26"/>
        <v>1.5458723842521827</v>
      </c>
      <c r="AM165" s="1726"/>
    </row>
    <row r="166" spans="1:39" ht="15.75" customHeight="1" x14ac:dyDescent="0.25">
      <c r="A166" s="3"/>
      <c r="B166" s="3"/>
      <c r="C166" s="3"/>
      <c r="D166" s="3" t="s">
        <v>1674</v>
      </c>
      <c r="E166" s="3"/>
      <c r="F166" s="1726">
        <f t="shared" si="26"/>
        <v>8.6202583729934789E-8</v>
      </c>
      <c r="G166" s="1726">
        <f t="shared" si="26"/>
        <v>2.1233366592507473E-7</v>
      </c>
      <c r="H166" s="1726">
        <f t="shared" si="26"/>
        <v>2.0367205085037522E-2</v>
      </c>
      <c r="I166" s="1726">
        <f t="shared" si="26"/>
        <v>8.8181790900263457E-2</v>
      </c>
      <c r="J166" s="1726">
        <f t="shared" si="26"/>
        <v>0.22876139735592074</v>
      </c>
      <c r="K166" s="1726">
        <f t="shared" si="26"/>
        <v>0.49482542640959881</v>
      </c>
      <c r="L166" s="1726">
        <f t="shared" si="26"/>
        <v>0.67176291843943436</v>
      </c>
      <c r="M166" s="1726">
        <f t="shared" si="26"/>
        <v>0.84575140030044904</v>
      </c>
      <c r="N166" s="1726">
        <f t="shared" si="26"/>
        <v>0.95963783620826337</v>
      </c>
      <c r="O166" s="1726">
        <f t="shared" si="26"/>
        <v>1.0808915028035166</v>
      </c>
      <c r="P166" s="1726">
        <f t="shared" si="26"/>
        <v>1.1932729745940474</v>
      </c>
      <c r="Q166" s="1726">
        <f t="shared" si="26"/>
        <v>1.2945233838032602</v>
      </c>
      <c r="R166" s="1726">
        <f t="shared" si="26"/>
        <v>1.3452895227280683</v>
      </c>
      <c r="S166" s="1726">
        <f t="shared" si="26"/>
        <v>1.3832587648920485</v>
      </c>
      <c r="T166" s="1726">
        <f t="shared" si="26"/>
        <v>1.4167605016776859</v>
      </c>
      <c r="U166" s="1726">
        <f t="shared" si="26"/>
        <v>1.4357987416647078</v>
      </c>
      <c r="V166" s="1726">
        <f t="shared" si="26"/>
        <v>1.4772510393139189</v>
      </c>
      <c r="W166" s="1726">
        <f t="shared" si="26"/>
        <v>1.5141750203872175</v>
      </c>
      <c r="X166" s="1726">
        <f t="shared" si="26"/>
        <v>1.5564811549920887</v>
      </c>
      <c r="Y166" s="1726">
        <f t="shared" si="26"/>
        <v>1.5794413956894484</v>
      </c>
      <c r="Z166" s="1726">
        <f t="shared" si="26"/>
        <v>1.3778869618031646</v>
      </c>
      <c r="AA166" s="1726">
        <f t="shared" si="26"/>
        <v>1.3162903645155071</v>
      </c>
      <c r="AB166" s="1726">
        <f t="shared" si="26"/>
        <v>1.2564101912541956</v>
      </c>
      <c r="AC166" s="1726">
        <f t="shared" si="26"/>
        <v>1.5009056061622243</v>
      </c>
      <c r="AD166" s="1726">
        <f t="shared" si="26"/>
        <v>1.6642089732663572</v>
      </c>
      <c r="AE166" s="1726">
        <f t="shared" si="26"/>
        <v>1.5290059931134969</v>
      </c>
      <c r="AF166" s="1726">
        <f t="shared" si="26"/>
        <v>1.3531241402527119</v>
      </c>
      <c r="AG166" s="1726">
        <f t="shared" si="26"/>
        <v>1.1112519556185321</v>
      </c>
      <c r="AH166" s="1726">
        <f t="shared" si="26"/>
        <v>1.1752093187041406</v>
      </c>
      <c r="AI166" s="1726">
        <f t="shared" si="26"/>
        <v>1.1192782233941851</v>
      </c>
      <c r="AJ166" s="1726">
        <f t="shared" si="26"/>
        <v>1.2218696031937946</v>
      </c>
      <c r="AK166" s="1726">
        <f t="shared" si="26"/>
        <v>1.1323489053690987</v>
      </c>
      <c r="AL166" s="1726">
        <f t="shared" si="26"/>
        <v>1.0959531153438715</v>
      </c>
      <c r="AM166" s="1726"/>
    </row>
    <row r="167" spans="1:39" ht="15.75" customHeight="1" x14ac:dyDescent="0.25">
      <c r="A167" s="3"/>
      <c r="B167" s="3"/>
      <c r="C167" s="3"/>
      <c r="D167" s="3" t="s">
        <v>1677</v>
      </c>
      <c r="E167" s="3"/>
      <c r="F167" s="1726">
        <f t="shared" si="26"/>
        <v>4.5076940923130153E-6</v>
      </c>
      <c r="G167" s="1726">
        <f t="shared" si="26"/>
        <v>1.1103323938505679E-5</v>
      </c>
      <c r="H167" s="1726">
        <f t="shared" si="26"/>
        <v>2.1288699948621633E-5</v>
      </c>
      <c r="I167" s="1726">
        <f t="shared" si="26"/>
        <v>1.5961701598265531E-3</v>
      </c>
      <c r="J167" s="1726">
        <f t="shared" si="26"/>
        <v>4.4472267640225226E-3</v>
      </c>
      <c r="K167" s="1726">
        <f t="shared" si="26"/>
        <v>1.1107737278983924E-2</v>
      </c>
      <c r="L167" s="1726">
        <f t="shared" si="26"/>
        <v>2.0659970010604808E-2</v>
      </c>
      <c r="M167" s="1726">
        <f t="shared" si="26"/>
        <v>3.4206585858856019E-2</v>
      </c>
      <c r="N167" s="1726">
        <f t="shared" si="26"/>
        <v>4.9596095105295827E-2</v>
      </c>
      <c r="O167" s="1726">
        <f t="shared" si="26"/>
        <v>7.082357343129618E-2</v>
      </c>
      <c r="P167" s="1726">
        <f t="shared" si="26"/>
        <v>8.733230728730064E-2</v>
      </c>
      <c r="Q167" s="1726">
        <f t="shared" si="26"/>
        <v>0.10817501738544939</v>
      </c>
      <c r="R167" s="1726">
        <f t="shared" si="26"/>
        <v>0.13167252832941642</v>
      </c>
      <c r="S167" s="1726">
        <f t="shared" si="26"/>
        <v>0.15591047969059296</v>
      </c>
      <c r="T167" s="1726">
        <f t="shared" si="26"/>
        <v>0.17823636493764719</v>
      </c>
      <c r="U167" s="1726">
        <f t="shared" si="26"/>
        <v>0.21575961040070421</v>
      </c>
      <c r="V167" s="1726">
        <f t="shared" si="26"/>
        <v>0.25644128740352529</v>
      </c>
      <c r="W167" s="1726">
        <f t="shared" si="26"/>
        <v>0.30218145073643815</v>
      </c>
      <c r="X167" s="1726">
        <f t="shared" si="26"/>
        <v>0.35409892626905459</v>
      </c>
      <c r="Y167" s="1726">
        <f t="shared" si="26"/>
        <v>0.39392619852708727</v>
      </c>
      <c r="Z167" s="1726">
        <f t="shared" si="26"/>
        <v>0.40366959468879882</v>
      </c>
      <c r="AA167" s="1726">
        <f t="shared" si="26"/>
        <v>0.50097650150941908</v>
      </c>
      <c r="AB167" s="1726">
        <f t="shared" si="26"/>
        <v>0.60517065792466496</v>
      </c>
      <c r="AC167" s="1726">
        <f t="shared" si="26"/>
        <v>0.68604492864480482</v>
      </c>
      <c r="AD167" s="1726">
        <f t="shared" si="26"/>
        <v>0.79081708648338844</v>
      </c>
      <c r="AE167" s="1726">
        <f t="shared" si="26"/>
        <v>0.79333137785513586</v>
      </c>
      <c r="AF167" s="1726">
        <f t="shared" si="26"/>
        <v>0.81599223360901352</v>
      </c>
      <c r="AG167" s="1726">
        <f t="shared" si="26"/>
        <v>0.61010995355122077</v>
      </c>
      <c r="AH167" s="1726">
        <f t="shared" si="26"/>
        <v>0.7650968498605466</v>
      </c>
      <c r="AI167" s="1726">
        <f t="shared" si="26"/>
        <v>0.67078830913150433</v>
      </c>
      <c r="AJ167" s="1726">
        <f t="shared" si="26"/>
        <v>0.73767454020865331</v>
      </c>
      <c r="AK167" s="1726">
        <f t="shared" si="26"/>
        <v>0.74022895886866802</v>
      </c>
      <c r="AL167" s="1726">
        <f t="shared" si="26"/>
        <v>0.73678876833263518</v>
      </c>
      <c r="AM167" s="1726"/>
    </row>
    <row r="168" spans="1:39" ht="15.75" customHeight="1" x14ac:dyDescent="0.25">
      <c r="A168" s="3"/>
      <c r="B168" s="3"/>
      <c r="C168" s="3"/>
      <c r="D168" s="3" t="s">
        <v>1678</v>
      </c>
      <c r="E168" s="3"/>
      <c r="F168" s="1726">
        <f t="shared" si="26"/>
        <v>0</v>
      </c>
      <c r="G168" s="1726">
        <f t="shared" si="26"/>
        <v>0</v>
      </c>
      <c r="H168" s="1726">
        <f t="shared" si="26"/>
        <v>0</v>
      </c>
      <c r="I168" s="1726">
        <f t="shared" si="26"/>
        <v>0</v>
      </c>
      <c r="J168" s="1726">
        <f t="shared" si="26"/>
        <v>0</v>
      </c>
      <c r="K168" s="1726">
        <f t="shared" si="26"/>
        <v>1.0954255927589853E-5</v>
      </c>
      <c r="L168" s="1726">
        <f t="shared" si="26"/>
        <v>2.456470499795807E-5</v>
      </c>
      <c r="M168" s="1726">
        <f t="shared" si="26"/>
        <v>4.6255211710234037E-5</v>
      </c>
      <c r="N168" s="1726">
        <f t="shared" si="26"/>
        <v>6.7848196628092475E-5</v>
      </c>
      <c r="O168" s="1726">
        <f t="shared" si="26"/>
        <v>9.7517162990399424E-5</v>
      </c>
      <c r="P168" s="1726">
        <f t="shared" si="26"/>
        <v>1.2726552049466115E-4</v>
      </c>
      <c r="Q168" s="1726">
        <f t="shared" si="26"/>
        <v>1.5467252551876407E-4</v>
      </c>
      <c r="R168" s="1726">
        <f t="shared" si="26"/>
        <v>1.7963043661400874E-4</v>
      </c>
      <c r="S168" s="1726">
        <f t="shared" si="26"/>
        <v>1.9902799546744342E-4</v>
      </c>
      <c r="T168" s="1726">
        <f t="shared" si="26"/>
        <v>2.1812373185547078E-4</v>
      </c>
      <c r="U168" s="1726">
        <f t="shared" si="26"/>
        <v>2.3971787596177731E-4</v>
      </c>
      <c r="V168" s="1726">
        <f t="shared" si="26"/>
        <v>2.5795595762703266E-4</v>
      </c>
      <c r="W168" s="1726">
        <f t="shared" si="26"/>
        <v>2.7837202804506213E-4</v>
      </c>
      <c r="X168" s="1726">
        <f t="shared" si="26"/>
        <v>2.9619713185669375E-4</v>
      </c>
      <c r="Y168" s="1726">
        <f t="shared" si="26"/>
        <v>3.1754278650377024E-4</v>
      </c>
      <c r="Z168" s="1726">
        <f t="shared" si="26"/>
        <v>3.4245377721385566E-4</v>
      </c>
      <c r="AA168" s="1726">
        <f t="shared" si="26"/>
        <v>3.6468774668985826E-4</v>
      </c>
      <c r="AB168" s="1726">
        <f t="shared" si="26"/>
        <v>3.9213494120544299E-4</v>
      </c>
      <c r="AC168" s="1726">
        <f t="shared" si="26"/>
        <v>4.1627564560236629E-4</v>
      </c>
      <c r="AD168" s="1726">
        <f t="shared" si="26"/>
        <v>4.427778067996393E-4</v>
      </c>
      <c r="AE168" s="1726">
        <f t="shared" si="26"/>
        <v>4.7138296328566831E-4</v>
      </c>
      <c r="AF168" s="1726">
        <f t="shared" si="26"/>
        <v>4.9907613140417507E-4</v>
      </c>
      <c r="AG168" s="1726">
        <f t="shared" si="26"/>
        <v>5.2995611314987558E-4</v>
      </c>
      <c r="AH168" s="1726">
        <f t="shared" si="26"/>
        <v>5.6067765764386708E-4</v>
      </c>
      <c r="AI168" s="1726">
        <f t="shared" si="26"/>
        <v>5.9396772661095385E-4</v>
      </c>
      <c r="AJ168" s="1726">
        <f t="shared" si="26"/>
        <v>6.2655342164842794E-4</v>
      </c>
      <c r="AK168" s="1726">
        <f t="shared" si="26"/>
        <v>6.4993388556584808E-4</v>
      </c>
      <c r="AL168" s="1726">
        <f t="shared" si="26"/>
        <v>6.7059373871104647E-4</v>
      </c>
      <c r="AM168" s="1726"/>
    </row>
    <row r="169" spans="1:39" ht="15.75" customHeight="1" x14ac:dyDescent="0.25">
      <c r="A169" s="3"/>
      <c r="B169" s="3"/>
      <c r="C169" s="3"/>
      <c r="D169" s="3" t="s">
        <v>1679</v>
      </c>
      <c r="E169" s="3"/>
      <c r="F169" s="1726">
        <f t="shared" si="26"/>
        <v>0</v>
      </c>
      <c r="G169" s="1726">
        <f t="shared" si="26"/>
        <v>0</v>
      </c>
      <c r="H169" s="1726">
        <f t="shared" si="26"/>
        <v>0</v>
      </c>
      <c r="I169" s="1726">
        <f t="shared" si="26"/>
        <v>1.1805442121498914E-3</v>
      </c>
      <c r="J169" s="1726">
        <f t="shared" si="26"/>
        <v>3.5608537412825923E-3</v>
      </c>
      <c r="K169" s="1726">
        <f t="shared" si="26"/>
        <v>5.9022600103244317E-3</v>
      </c>
      <c r="L169" s="1726">
        <f t="shared" si="26"/>
        <v>7.3446392843244121E-3</v>
      </c>
      <c r="M169" s="1726">
        <f t="shared" si="26"/>
        <v>8.9930362874617968E-3</v>
      </c>
      <c r="N169" s="1726">
        <f t="shared" si="26"/>
        <v>1.0735581116514327E-2</v>
      </c>
      <c r="O169" s="1726">
        <f t="shared" si="26"/>
        <v>1.2595276696293558E-2</v>
      </c>
      <c r="P169" s="1726">
        <f t="shared" si="26"/>
        <v>1.4371383788866611E-2</v>
      </c>
      <c r="Q169" s="1726">
        <f t="shared" si="26"/>
        <v>1.6086611749231292E-2</v>
      </c>
      <c r="R169" s="1726">
        <f t="shared" si="26"/>
        <v>1.7723926021976685E-2</v>
      </c>
      <c r="S169" s="1726">
        <f t="shared" si="26"/>
        <v>1.9036770064609077E-2</v>
      </c>
      <c r="T169" s="1726">
        <f t="shared" si="26"/>
        <v>1.9996825532441635E-2</v>
      </c>
      <c r="U169" s="1726">
        <f t="shared" si="26"/>
        <v>2.059800477750472E-2</v>
      </c>
      <c r="V169" s="1726">
        <f t="shared" si="26"/>
        <v>2.1032925346020744E-2</v>
      </c>
      <c r="W169" s="1726">
        <f t="shared" si="26"/>
        <v>2.1312695961068526E-2</v>
      </c>
      <c r="X169" s="1726">
        <f t="shared" si="26"/>
        <v>2.1492347912168683E-2</v>
      </c>
      <c r="Y169" s="1726">
        <f t="shared" si="26"/>
        <v>2.1620044755665414E-2</v>
      </c>
      <c r="Z169" s="1726">
        <f t="shared" si="26"/>
        <v>2.1813058945273661E-2</v>
      </c>
      <c r="AA169" s="1726">
        <f t="shared" si="26"/>
        <v>2.2008696432492578E-2</v>
      </c>
      <c r="AB169" s="1726">
        <f t="shared" si="26"/>
        <v>2.2192398174270739E-2</v>
      </c>
      <c r="AC169" s="1726">
        <f t="shared" si="26"/>
        <v>2.2621037700409602E-2</v>
      </c>
      <c r="AD169" s="1726">
        <f t="shared" si="26"/>
        <v>2.192555664927183E-2</v>
      </c>
      <c r="AE169" s="1726">
        <f t="shared" si="26"/>
        <v>1.9744092198035034E-2</v>
      </c>
      <c r="AF169" s="1726">
        <f t="shared" si="26"/>
        <v>1.8417276580680923E-2</v>
      </c>
      <c r="AG169" s="1726">
        <f t="shared" si="26"/>
        <v>1.7124176657518756E-2</v>
      </c>
      <c r="AH169" s="1726">
        <f t="shared" si="26"/>
        <v>1.5722904707009121E-2</v>
      </c>
      <c r="AI169" s="1726">
        <f t="shared" si="26"/>
        <v>1.4448871541951937E-2</v>
      </c>
      <c r="AJ169" s="1726">
        <f t="shared" si="26"/>
        <v>1.3465422807540792E-2</v>
      </c>
      <c r="AK169" s="1726">
        <f t="shared" si="26"/>
        <v>1.244935002995514E-2</v>
      </c>
      <c r="AL169" s="1726">
        <f t="shared" si="26"/>
        <v>1.1514663233869486E-2</v>
      </c>
      <c r="AM169" s="1726"/>
    </row>
    <row r="170" spans="1:39" ht="15.75" customHeight="1" x14ac:dyDescent="0.25">
      <c r="A170" s="3"/>
      <c r="B170" s="3"/>
      <c r="C170" s="3"/>
      <c r="D170" s="3" t="s">
        <v>1680</v>
      </c>
      <c r="E170" s="3"/>
      <c r="F170" s="1726">
        <f t="shared" si="26"/>
        <v>0</v>
      </c>
      <c r="G170" s="1726">
        <f t="shared" si="26"/>
        <v>0</v>
      </c>
      <c r="H170" s="1726">
        <f t="shared" si="26"/>
        <v>0</v>
      </c>
      <c r="I170" s="1726">
        <f t="shared" si="26"/>
        <v>0</v>
      </c>
      <c r="J170" s="1726">
        <f t="shared" si="26"/>
        <v>0</v>
      </c>
      <c r="K170" s="1726">
        <f t="shared" si="26"/>
        <v>0</v>
      </c>
      <c r="L170" s="1726">
        <f t="shared" si="26"/>
        <v>3.4699574710132322E-6</v>
      </c>
      <c r="M170" s="1726">
        <f t="shared" si="26"/>
        <v>9.8530964477012256E-6</v>
      </c>
      <c r="N170" s="1726">
        <f t="shared" si="26"/>
        <v>2.1006249081277239E-5</v>
      </c>
      <c r="O170" s="1726">
        <f t="shared" si="26"/>
        <v>4.0755731526590407E-5</v>
      </c>
      <c r="P170" s="1726">
        <f t="shared" si="26"/>
        <v>1.8813265014940163E-4</v>
      </c>
      <c r="Q170" s="1726">
        <f t="shared" si="26"/>
        <v>4.7101518837129656E-4</v>
      </c>
      <c r="R170" s="1726">
        <f t="shared" si="26"/>
        <v>9.2444346057260159E-4</v>
      </c>
      <c r="S170" s="1726">
        <f t="shared" si="26"/>
        <v>1.537761171964018E-3</v>
      </c>
      <c r="T170" s="1726">
        <f t="shared" si="26"/>
        <v>2.3546705905743183E-3</v>
      </c>
      <c r="U170" s="1726">
        <f t="shared" si="26"/>
        <v>3.5082152252173455E-3</v>
      </c>
      <c r="V170" s="1726">
        <f t="shared" si="26"/>
        <v>5.7079475264536998E-3</v>
      </c>
      <c r="W170" s="1726">
        <f t="shared" si="26"/>
        <v>8.1877885455828563E-3</v>
      </c>
      <c r="X170" s="1726">
        <f t="shared" si="26"/>
        <v>1.0787608531141897E-2</v>
      </c>
      <c r="Y170" s="1726">
        <f t="shared" si="26"/>
        <v>1.3898326384363006E-2</v>
      </c>
      <c r="Z170" s="1726">
        <f t="shared" si="26"/>
        <v>1.9427266566387942E-2</v>
      </c>
      <c r="AA170" s="1726">
        <f t="shared" si="26"/>
        <v>3.5018027630221098E-2</v>
      </c>
      <c r="AB170" s="1726">
        <f t="shared" si="26"/>
        <v>3.717862047248665E-2</v>
      </c>
      <c r="AC170" s="1726">
        <f t="shared" si="26"/>
        <v>5.5618635620411951E-2</v>
      </c>
      <c r="AD170" s="1726">
        <f t="shared" si="26"/>
        <v>6.9113497672989369E-2</v>
      </c>
      <c r="AE170" s="1726">
        <f t="shared" si="26"/>
        <v>8.3766508008387711E-2</v>
      </c>
      <c r="AF170" s="1726">
        <f t="shared" si="26"/>
        <v>9.5906930309458224E-2</v>
      </c>
      <c r="AG170" s="1726">
        <f t="shared" si="26"/>
        <v>9.2206490198201735E-2</v>
      </c>
      <c r="AH170" s="1726">
        <f t="shared" si="26"/>
        <v>0.11127142168724008</v>
      </c>
      <c r="AI170" s="1726">
        <f t="shared" si="26"/>
        <v>0.11820118404832088</v>
      </c>
      <c r="AJ170" s="1726">
        <f t="shared" si="26"/>
        <v>0.15730941336136001</v>
      </c>
      <c r="AK170" s="1726">
        <f t="shared" si="26"/>
        <v>0.19206471100663988</v>
      </c>
      <c r="AL170" s="1726">
        <f t="shared" si="26"/>
        <v>0.21467428733671656</v>
      </c>
      <c r="AM170" s="1726"/>
    </row>
    <row r="171" spans="1:39" ht="15.75" customHeight="1" x14ac:dyDescent="0.25">
      <c r="A171" s="3"/>
      <c r="B171" s="3"/>
      <c r="C171" s="3"/>
      <c r="D171" s="3" t="s">
        <v>1681</v>
      </c>
      <c r="E171" s="3"/>
      <c r="F171" s="1726">
        <f t="shared" si="26"/>
        <v>5.2490612533711801E-3</v>
      </c>
      <c r="G171" s="1726">
        <f t="shared" si="26"/>
        <v>1.1050769364328234E-2</v>
      </c>
      <c r="H171" s="1726">
        <f t="shared" si="26"/>
        <v>1.1115437807649356E-2</v>
      </c>
      <c r="I171" s="1726">
        <f t="shared" si="26"/>
        <v>1.128632838726336E-2</v>
      </c>
      <c r="J171" s="1726">
        <f t="shared" si="26"/>
        <v>1.2139368089144958E-2</v>
      </c>
      <c r="K171" s="1726">
        <f t="shared" si="26"/>
        <v>2.64430632335017E-2</v>
      </c>
      <c r="L171" s="1726">
        <f t="shared" si="26"/>
        <v>4.286373868736304E-2</v>
      </c>
      <c r="M171" s="1726">
        <f t="shared" si="26"/>
        <v>5.3288381809785804E-2</v>
      </c>
      <c r="N171" s="1726">
        <f t="shared" si="26"/>
        <v>6.7547470431862572E-2</v>
      </c>
      <c r="O171" s="1726">
        <f t="shared" si="26"/>
        <v>7.161438162695849E-2</v>
      </c>
      <c r="P171" s="1726">
        <f t="shared" si="26"/>
        <v>7.48114148473778E-2</v>
      </c>
      <c r="Q171" s="1726">
        <f t="shared" si="26"/>
        <v>8.1163473394426977E-2</v>
      </c>
      <c r="R171" s="1726">
        <f t="shared" si="26"/>
        <v>0.10091823799130353</v>
      </c>
      <c r="S171" s="1726">
        <f t="shared" si="26"/>
        <v>0.1231974117062746</v>
      </c>
      <c r="T171" s="1726">
        <f t="shared" si="26"/>
        <v>0.13267024929151594</v>
      </c>
      <c r="U171" s="1726">
        <f t="shared" si="26"/>
        <v>0.14234468985191259</v>
      </c>
      <c r="V171" s="1726">
        <f t="shared" si="26"/>
        <v>0.14978237699696606</v>
      </c>
      <c r="W171" s="1726">
        <f t="shared" si="26"/>
        <v>0.15861606658660865</v>
      </c>
      <c r="X171" s="1726">
        <f t="shared" si="26"/>
        <v>0.16692446275226025</v>
      </c>
      <c r="Y171" s="1726">
        <f t="shared" si="26"/>
        <v>0.17955439588086405</v>
      </c>
      <c r="Z171" s="1726">
        <f t="shared" si="26"/>
        <v>0.19339202570349479</v>
      </c>
      <c r="AA171" s="1726">
        <f t="shared" si="26"/>
        <v>0.20733657529980351</v>
      </c>
      <c r="AB171" s="1726">
        <f t="shared" si="26"/>
        <v>0.22104948820121023</v>
      </c>
      <c r="AC171" s="1726">
        <f t="shared" si="26"/>
        <v>0.23455607585625504</v>
      </c>
      <c r="AD171" s="1726">
        <f t="shared" ref="AD171:AL171" si="27">SUMIF($D$16:$D$49,$D171,AD$106:AD$139)</f>
        <v>0.24688378865849903</v>
      </c>
      <c r="AE171" s="1726">
        <f t="shared" si="27"/>
        <v>0.27190410513565533</v>
      </c>
      <c r="AF171" s="1726">
        <f t="shared" si="27"/>
        <v>0.29038851846124836</v>
      </c>
      <c r="AG171" s="1726">
        <f t="shared" si="27"/>
        <v>0.31093554777597232</v>
      </c>
      <c r="AH171" s="1726">
        <f t="shared" si="27"/>
        <v>0.31987982475974841</v>
      </c>
      <c r="AI171" s="1726">
        <f t="shared" si="27"/>
        <v>0.32149990418379232</v>
      </c>
      <c r="AJ171" s="1726">
        <f t="shared" si="27"/>
        <v>0.3215711858759972</v>
      </c>
      <c r="AK171" s="1726">
        <f t="shared" si="27"/>
        <v>0.32923293579657298</v>
      </c>
      <c r="AL171" s="1726">
        <f t="shared" si="27"/>
        <v>0.33872970135718788</v>
      </c>
      <c r="AM171" s="1726"/>
    </row>
    <row r="172" spans="1:39" ht="15.75" customHeight="1" x14ac:dyDescent="0.25">
      <c r="A172" s="3"/>
      <c r="B172" s="3"/>
      <c r="C172" s="3"/>
      <c r="D172" s="3" t="s">
        <v>1685</v>
      </c>
      <c r="E172" s="3"/>
      <c r="F172" s="1726">
        <f t="shared" ref="F172:AL173" si="28">SUMIF($D$16:$D$49,$D172,F$106:F$139)</f>
        <v>0</v>
      </c>
      <c r="G172" s="1726">
        <f t="shared" si="28"/>
        <v>0</v>
      </c>
      <c r="H172" s="1726">
        <f t="shared" si="28"/>
        <v>0</v>
      </c>
      <c r="I172" s="1726">
        <f t="shared" si="28"/>
        <v>0</v>
      </c>
      <c r="J172" s="1726">
        <f t="shared" si="28"/>
        <v>4.9961560157817728E-7</v>
      </c>
      <c r="K172" s="1726">
        <f t="shared" si="28"/>
        <v>1.6057738723443702E-6</v>
      </c>
      <c r="L172" s="1726">
        <f t="shared" si="28"/>
        <v>1.4514039122903119E-5</v>
      </c>
      <c r="M172" s="1726">
        <f t="shared" si="28"/>
        <v>3.9830321803897769E-5</v>
      </c>
      <c r="N172" s="1726">
        <f t="shared" si="28"/>
        <v>7.8304328681815341E-5</v>
      </c>
      <c r="O172" s="1726">
        <f t="shared" si="28"/>
        <v>1.3057147368950137E-4</v>
      </c>
      <c r="P172" s="1726">
        <f t="shared" si="28"/>
        <v>1.9720599169831886E-4</v>
      </c>
      <c r="Q172" s="1726">
        <f t="shared" si="28"/>
        <v>2.6593459534622149E-4</v>
      </c>
      <c r="R172" s="1726">
        <f t="shared" si="28"/>
        <v>3.2555746089674354E-4</v>
      </c>
      <c r="S172" s="1726">
        <f t="shared" si="28"/>
        <v>3.7457972570859206E-4</v>
      </c>
      <c r="T172" s="1726">
        <f t="shared" si="28"/>
        <v>4.1203064988122872E-4</v>
      </c>
      <c r="U172" s="1726">
        <f t="shared" si="28"/>
        <v>4.3726734755239298E-4</v>
      </c>
      <c r="V172" s="1726">
        <f t="shared" si="28"/>
        <v>4.4898575349609749E-4</v>
      </c>
      <c r="W172" s="1726">
        <f t="shared" si="28"/>
        <v>4.6027635671259091E-4</v>
      </c>
      <c r="X172" s="1726">
        <f t="shared" si="28"/>
        <v>4.7235792308832932E-4</v>
      </c>
      <c r="Y172" s="1726">
        <f t="shared" si="28"/>
        <v>4.8621337521845742E-4</v>
      </c>
      <c r="Z172" s="1726">
        <f t="shared" si="28"/>
        <v>5.018088856264762E-4</v>
      </c>
      <c r="AA172" s="1726">
        <f t="shared" si="28"/>
        <v>5.1779665162890985E-4</v>
      </c>
      <c r="AB172" s="1726">
        <f t="shared" si="28"/>
        <v>5.339533119022976E-4</v>
      </c>
      <c r="AC172" s="1726">
        <f t="shared" si="28"/>
        <v>5.497122446681777E-4</v>
      </c>
      <c r="AD172" s="1726">
        <f t="shared" si="28"/>
        <v>5.6548791377722168E-4</v>
      </c>
      <c r="AE172" s="1726">
        <f t="shared" si="28"/>
        <v>5.8111722725236214E-4</v>
      </c>
      <c r="AF172" s="1726">
        <f t="shared" si="28"/>
        <v>5.9623167666656807E-4</v>
      </c>
      <c r="AG172" s="1726">
        <f t="shared" si="28"/>
        <v>6.126107876341726E-4</v>
      </c>
      <c r="AH172" s="1726">
        <f t="shared" si="28"/>
        <v>6.2938843028398513E-4</v>
      </c>
      <c r="AI172" s="1726">
        <f t="shared" si="28"/>
        <v>6.4673792253906975E-4</v>
      </c>
      <c r="AJ172" s="1726">
        <f t="shared" si="28"/>
        <v>6.0677807101771795E-4</v>
      </c>
      <c r="AK172" s="1726">
        <f t="shared" si="28"/>
        <v>5.585522835768788E-4</v>
      </c>
      <c r="AL172" s="1726">
        <f t="shared" si="28"/>
        <v>5.0697150155528466E-4</v>
      </c>
      <c r="AM172" s="1726"/>
    </row>
    <row r="173" spans="1:39" ht="15.75" customHeight="1" x14ac:dyDescent="0.25">
      <c r="A173" s="3"/>
      <c r="B173" s="3"/>
      <c r="C173" s="3"/>
      <c r="D173" s="3" t="s">
        <v>1684</v>
      </c>
      <c r="E173" s="3"/>
      <c r="F173" s="1726">
        <f t="shared" si="28"/>
        <v>0</v>
      </c>
      <c r="G173" s="1726">
        <f t="shared" si="28"/>
        <v>0</v>
      </c>
      <c r="H173" s="1726">
        <f t="shared" si="28"/>
        <v>0</v>
      </c>
      <c r="I173" s="1726">
        <f t="shared" si="28"/>
        <v>0</v>
      </c>
      <c r="J173" s="1726">
        <f t="shared" si="28"/>
        <v>3.1252988760546909E-6</v>
      </c>
      <c r="K173" s="1726">
        <f t="shared" si="28"/>
        <v>1.5292877219111043E-2</v>
      </c>
      <c r="L173" s="1726">
        <f t="shared" si="28"/>
        <v>3.6757878073003937E-2</v>
      </c>
      <c r="M173" s="1726">
        <f t="shared" si="28"/>
        <v>4.3196454169263189E-2</v>
      </c>
      <c r="N173" s="1726">
        <f t="shared" si="28"/>
        <v>4.4042634177496535E-2</v>
      </c>
      <c r="O173" s="1726">
        <f t="shared" si="28"/>
        <v>4.4967038620776154E-2</v>
      </c>
      <c r="P173" s="1726">
        <f t="shared" si="28"/>
        <v>3.5736860648423331E-2</v>
      </c>
      <c r="Q173" s="1726">
        <f t="shared" si="28"/>
        <v>2.6186925136291384E-2</v>
      </c>
      <c r="R173" s="1726">
        <f t="shared" si="28"/>
        <v>1.6196138000009439E-2</v>
      </c>
      <c r="S173" s="1726">
        <f t="shared" si="28"/>
        <v>5.6043283756359663E-3</v>
      </c>
      <c r="T173" s="1726">
        <f t="shared" si="28"/>
        <v>5.7033410018691479E-3</v>
      </c>
      <c r="U173" s="1726">
        <f t="shared" si="28"/>
        <v>4.786365202022835E-3</v>
      </c>
      <c r="V173" s="1726">
        <f t="shared" si="28"/>
        <v>3.8222817377450134E-3</v>
      </c>
      <c r="W173" s="1726">
        <f t="shared" si="28"/>
        <v>2.8257465875583939E-3</v>
      </c>
      <c r="X173" s="1726">
        <f t="shared" si="28"/>
        <v>1.7981086681998543E-3</v>
      </c>
      <c r="Y173" s="1726">
        <f t="shared" si="28"/>
        <v>7.382421839629181E-4</v>
      </c>
      <c r="Z173" s="1726">
        <f t="shared" si="28"/>
        <v>7.3973616806546742E-4</v>
      </c>
      <c r="AA173" s="1726">
        <f t="shared" si="28"/>
        <v>7.4108157604983965E-4</v>
      </c>
      <c r="AB173" s="1726">
        <f t="shared" si="28"/>
        <v>7.4190133586336706E-4</v>
      </c>
      <c r="AC173" s="1726">
        <f t="shared" si="28"/>
        <v>7.4154736434371975E-4</v>
      </c>
      <c r="AD173" s="1726">
        <f t="shared" si="28"/>
        <v>7.4066293220973801E-4</v>
      </c>
      <c r="AE173" s="1726">
        <f t="shared" si="28"/>
        <v>7.3894896804106681E-4</v>
      </c>
      <c r="AF173" s="1726">
        <f t="shared" si="28"/>
        <v>7.3609262959230324E-4</v>
      </c>
      <c r="AG173" s="1726">
        <f t="shared" si="28"/>
        <v>7.3426584885125372E-4</v>
      </c>
      <c r="AH173" s="1726">
        <f t="shared" si="28"/>
        <v>7.3244086865830696E-4</v>
      </c>
      <c r="AI173" s="1726">
        <f t="shared" si="28"/>
        <v>7.3069577891417281E-4</v>
      </c>
      <c r="AJ173" s="1726">
        <f t="shared" si="28"/>
        <v>7.3770172409781253E-4</v>
      </c>
      <c r="AK173" s="1726">
        <f t="shared" si="28"/>
        <v>7.3677083802823349E-4</v>
      </c>
      <c r="AL173" s="1726">
        <f t="shared" si="28"/>
        <v>7.3293318570675375E-4</v>
      </c>
      <c r="AM173" s="1726"/>
    </row>
    <row r="174" spans="1:39" ht="15.75" customHeight="1" x14ac:dyDescent="0.25">
      <c r="A174" s="3"/>
      <c r="B174" s="3"/>
      <c r="C174" s="3"/>
      <c r="D174" s="3"/>
      <c r="E174" s="3"/>
      <c r="F174" s="1726"/>
      <c r="G174" s="1726"/>
      <c r="H174" s="1726"/>
      <c r="I174" s="1726"/>
      <c r="J174" s="1726"/>
      <c r="K174" s="1726"/>
      <c r="L174" s="1726"/>
      <c r="M174" s="1726"/>
      <c r="N174" s="1726"/>
      <c r="O174" s="1726"/>
      <c r="P174" s="1726"/>
      <c r="Q174" s="1726"/>
      <c r="R174" s="1726"/>
      <c r="S174" s="1726"/>
      <c r="T174" s="1726"/>
      <c r="U174" s="1726"/>
      <c r="V174" s="1726"/>
      <c r="W174" s="1726"/>
      <c r="X174" s="1726"/>
      <c r="Y174" s="1726"/>
      <c r="Z174" s="1726"/>
      <c r="AA174" s="1726"/>
      <c r="AB174" s="1726"/>
      <c r="AC174" s="1726"/>
      <c r="AD174" s="1726"/>
      <c r="AE174" s="1726"/>
      <c r="AF174" s="1726"/>
      <c r="AG174" s="1726"/>
      <c r="AH174" s="1726"/>
      <c r="AI174" s="1726"/>
      <c r="AJ174" s="1726"/>
      <c r="AK174" s="1726"/>
      <c r="AL174" s="1726"/>
      <c r="AM174" s="1726"/>
    </row>
    <row r="175" spans="1:39" ht="15.75" customHeight="1" x14ac:dyDescent="0.25">
      <c r="A175" s="3"/>
      <c r="B175" s="3"/>
      <c r="C175" s="3"/>
      <c r="D175" s="3" t="s">
        <v>3</v>
      </c>
      <c r="E175" s="3"/>
      <c r="F175" s="1726">
        <f t="shared" ref="F175:AL175" si="29">F164</f>
        <v>2.6131014791080082E-7</v>
      </c>
      <c r="G175" s="1726">
        <f t="shared" si="29"/>
        <v>4.1898124909234098E-7</v>
      </c>
      <c r="H175" s="1726">
        <f t="shared" si="29"/>
        <v>5.8111866987456702E-7</v>
      </c>
      <c r="I175" s="1726">
        <f t="shared" si="29"/>
        <v>7.4840461171582204E-7</v>
      </c>
      <c r="J175" s="1726">
        <f t="shared" si="29"/>
        <v>9.2201719908830302E-7</v>
      </c>
      <c r="K175" s="1726">
        <f t="shared" si="29"/>
        <v>2.3052706395561522E-6</v>
      </c>
      <c r="L175" s="1726">
        <f t="shared" si="29"/>
        <v>4.4136082214367739E-6</v>
      </c>
      <c r="M175" s="1726">
        <f t="shared" si="29"/>
        <v>6.5946290152229707E-6</v>
      </c>
      <c r="N175" s="1726">
        <f t="shared" si="29"/>
        <v>8.8565132283437395E-6</v>
      </c>
      <c r="O175" s="1726">
        <f t="shared" si="29"/>
        <v>1.1509845363912519E-5</v>
      </c>
      <c r="P175" s="1726">
        <f t="shared" si="29"/>
        <v>1.2569649352965852E-5</v>
      </c>
      <c r="Q175" s="1726">
        <f t="shared" si="29"/>
        <v>1.3247157241468287E-5</v>
      </c>
      <c r="R175" s="1726">
        <f t="shared" si="29"/>
        <v>1.7288683860185458E-5</v>
      </c>
      <c r="S175" s="1726">
        <f t="shared" si="29"/>
        <v>2.1944993352741679E-5</v>
      </c>
      <c r="T175" s="1726">
        <f t="shared" si="29"/>
        <v>2.3330088569784589E-5</v>
      </c>
      <c r="U175" s="1726">
        <f t="shared" si="29"/>
        <v>2.4713909211711638E-5</v>
      </c>
      <c r="V175" s="1726">
        <f t="shared" si="29"/>
        <v>2.6092421796137101E-5</v>
      </c>
      <c r="W175" s="1726">
        <f t="shared" si="29"/>
        <v>2.7471143032289743E-5</v>
      </c>
      <c r="X175" s="1726">
        <f t="shared" si="29"/>
        <v>2.8923391721581608E-5</v>
      </c>
      <c r="Y175" s="1726">
        <f t="shared" si="29"/>
        <v>3.1802293449473981E-5</v>
      </c>
      <c r="Z175" s="1726">
        <f t="shared" si="29"/>
        <v>3.5335146091815057E-5</v>
      </c>
      <c r="AA175" s="1726">
        <f t="shared" si="29"/>
        <v>3.771742776819257E-5</v>
      </c>
      <c r="AB175" s="1726">
        <f t="shared" si="29"/>
        <v>3.956228490669917E-5</v>
      </c>
      <c r="AC175" s="1726">
        <f t="shared" si="29"/>
        <v>4.1703195498338638E-5</v>
      </c>
      <c r="AD175" s="1726">
        <f t="shared" si="29"/>
        <v>4.4100162870311796E-5</v>
      </c>
      <c r="AE175" s="1726">
        <f t="shared" si="29"/>
        <v>4.6478452427122152E-5</v>
      </c>
      <c r="AF175" s="1726">
        <f t="shared" si="29"/>
        <v>4.9640579107816882E-5</v>
      </c>
      <c r="AG175" s="1726">
        <f t="shared" si="29"/>
        <v>5.2781854283047353E-5</v>
      </c>
      <c r="AH175" s="1726">
        <f t="shared" si="29"/>
        <v>5.6556118564366453E-5</v>
      </c>
      <c r="AI175" s="1726">
        <f t="shared" si="29"/>
        <v>6.0255123344093292E-5</v>
      </c>
      <c r="AJ175" s="1726">
        <f t="shared" si="29"/>
        <v>6.4760276546437561E-5</v>
      </c>
      <c r="AK175" s="1726">
        <f t="shared" si="29"/>
        <v>6.8680952135492248E-5</v>
      </c>
      <c r="AL175" s="1726">
        <f t="shared" si="29"/>
        <v>7.2638169923938342E-5</v>
      </c>
      <c r="AM175" s="1726"/>
    </row>
    <row r="176" spans="1:39" ht="15.75" customHeight="1" x14ac:dyDescent="0.25">
      <c r="A176" s="3"/>
      <c r="B176" s="3"/>
      <c r="C176" s="3"/>
      <c r="D176" s="3" t="s">
        <v>1672</v>
      </c>
      <c r="E176" s="3"/>
      <c r="F176" s="1726">
        <f t="shared" ref="F176:AL176" si="30">SUM(F165:F171)</f>
        <v>5.2561127898910548E-3</v>
      </c>
      <c r="G176" s="1726">
        <f t="shared" si="30"/>
        <v>1.1068138665048506E-2</v>
      </c>
      <c r="H176" s="1726">
        <f t="shared" si="30"/>
        <v>3.1515538404487779E-2</v>
      </c>
      <c r="I176" s="1726">
        <f t="shared" si="30"/>
        <v>0.10440657742779755</v>
      </c>
      <c r="J176" s="1726">
        <f t="shared" si="30"/>
        <v>0.25465791033007856</v>
      </c>
      <c r="K176" s="1726">
        <f t="shared" si="30"/>
        <v>0.55047441770365191</v>
      </c>
      <c r="L176" s="1726">
        <f t="shared" si="30"/>
        <v>0.76340018087424921</v>
      </c>
      <c r="M176" s="1726">
        <f t="shared" si="30"/>
        <v>0.9743419163551772</v>
      </c>
      <c r="N176" s="1726">
        <f t="shared" si="30"/>
        <v>1.1295703908192107</v>
      </c>
      <c r="O176" s="1726">
        <f t="shared" si="30"/>
        <v>1.2910706154832667</v>
      </c>
      <c r="P176" s="1726">
        <f t="shared" si="30"/>
        <v>1.4359516981598268</v>
      </c>
      <c r="Q176" s="1726">
        <f t="shared" si="30"/>
        <v>1.5808583717423241</v>
      </c>
      <c r="R176" s="1726">
        <f t="shared" si="30"/>
        <v>1.6943597792822711</v>
      </c>
      <c r="S176" s="1726">
        <f t="shared" si="30"/>
        <v>1.7998427944338444</v>
      </c>
      <c r="T176" s="1726">
        <f t="shared" si="30"/>
        <v>1.886583193318373</v>
      </c>
      <c r="U176" s="1726">
        <f t="shared" si="30"/>
        <v>1.9896363935027968</v>
      </c>
      <c r="V176" s="1726">
        <f t="shared" si="30"/>
        <v>2.1264534710247474</v>
      </c>
      <c r="W176" s="1726">
        <f t="shared" si="30"/>
        <v>2.2781620569451952</v>
      </c>
      <c r="X176" s="1726">
        <f t="shared" si="30"/>
        <v>2.4450340875026564</v>
      </c>
      <c r="Y176" s="1726">
        <f t="shared" si="30"/>
        <v>2.5174528356644577</v>
      </c>
      <c r="Z176" s="1726">
        <f t="shared" si="30"/>
        <v>2.3965532966166059</v>
      </c>
      <c r="AA176" s="1726">
        <f t="shared" si="30"/>
        <v>2.5508710849997303</v>
      </c>
      <c r="AB176" s="1726">
        <f t="shared" si="30"/>
        <v>2.7141578312153496</v>
      </c>
      <c r="AC176" s="1726">
        <f t="shared" si="30"/>
        <v>3.155021748367659</v>
      </c>
      <c r="AD176" s="1726">
        <f t="shared" si="30"/>
        <v>3.6298990529682649</v>
      </c>
      <c r="AE176" s="1726">
        <f t="shared" si="30"/>
        <v>3.5273221177204666</v>
      </c>
      <c r="AF176" s="1726">
        <f t="shared" si="30"/>
        <v>3.5647340565105123</v>
      </c>
      <c r="AG176" s="1726">
        <f t="shared" si="30"/>
        <v>3.0353422192039665</v>
      </c>
      <c r="AH176" s="1726">
        <f t="shared" si="30"/>
        <v>3.4460176461129821</v>
      </c>
      <c r="AI176" s="1726">
        <f t="shared" si="30"/>
        <v>3.2750794715661051</v>
      </c>
      <c r="AJ176" s="1726">
        <f t="shared" si="30"/>
        <v>3.689915798190575</v>
      </c>
      <c r="AK176" s="1726">
        <f t="shared" si="30"/>
        <v>3.8289155126363608</v>
      </c>
      <c r="AL176" s="1726">
        <f t="shared" si="30"/>
        <v>3.9442035135951743</v>
      </c>
      <c r="AM176" s="1726"/>
    </row>
    <row r="177" spans="1:39" ht="15.75" customHeight="1" x14ac:dyDescent="0.25">
      <c r="A177" s="3"/>
      <c r="B177" s="3"/>
      <c r="C177" s="3"/>
      <c r="D177" s="3" t="s">
        <v>1683</v>
      </c>
      <c r="E177" s="3"/>
      <c r="F177" s="1726">
        <f t="shared" ref="F177:AL177" si="31">SUM(F172:F173)</f>
        <v>0</v>
      </c>
      <c r="G177" s="1726">
        <f t="shared" si="31"/>
        <v>0</v>
      </c>
      <c r="H177" s="1726">
        <f t="shared" si="31"/>
        <v>0</v>
      </c>
      <c r="I177" s="1726">
        <f t="shared" si="31"/>
        <v>0</v>
      </c>
      <c r="J177" s="1726">
        <f t="shared" si="31"/>
        <v>3.624914477632868E-6</v>
      </c>
      <c r="K177" s="1726">
        <f t="shared" si="31"/>
        <v>1.5294482992983388E-2</v>
      </c>
      <c r="L177" s="1726">
        <f t="shared" si="31"/>
        <v>3.6772392112126843E-2</v>
      </c>
      <c r="M177" s="1726">
        <f t="shared" si="31"/>
        <v>4.323628449106709E-2</v>
      </c>
      <c r="N177" s="1726">
        <f t="shared" si="31"/>
        <v>4.4120938506178348E-2</v>
      </c>
      <c r="O177" s="1726">
        <f t="shared" si="31"/>
        <v>4.5097610094465654E-2</v>
      </c>
      <c r="P177" s="1726">
        <f t="shared" si="31"/>
        <v>3.5934066640121651E-2</v>
      </c>
      <c r="Q177" s="1726">
        <f t="shared" si="31"/>
        <v>2.6452859731637607E-2</v>
      </c>
      <c r="R177" s="1726">
        <f t="shared" si="31"/>
        <v>1.6521695460906184E-2</v>
      </c>
      <c r="S177" s="1726">
        <f t="shared" si="31"/>
        <v>5.9789081013445584E-3</v>
      </c>
      <c r="T177" s="1726">
        <f t="shared" si="31"/>
        <v>6.1153716517503764E-3</v>
      </c>
      <c r="U177" s="1726">
        <f t="shared" si="31"/>
        <v>5.223632549575228E-3</v>
      </c>
      <c r="V177" s="1726">
        <f t="shared" si="31"/>
        <v>4.2712674912411108E-3</v>
      </c>
      <c r="W177" s="1726">
        <f t="shared" si="31"/>
        <v>3.2860229442709847E-3</v>
      </c>
      <c r="X177" s="1726">
        <f t="shared" si="31"/>
        <v>2.2704665912881834E-3</v>
      </c>
      <c r="Y177" s="1726">
        <f t="shared" si="31"/>
        <v>1.2244555591813754E-3</v>
      </c>
      <c r="Z177" s="1726">
        <f t="shared" si="31"/>
        <v>1.2415450536919436E-3</v>
      </c>
      <c r="AA177" s="1726">
        <f t="shared" si="31"/>
        <v>1.2588782276787495E-3</v>
      </c>
      <c r="AB177" s="1726">
        <f t="shared" si="31"/>
        <v>1.2758546477656648E-3</v>
      </c>
      <c r="AC177" s="1726">
        <f t="shared" si="31"/>
        <v>1.2912596090118974E-3</v>
      </c>
      <c r="AD177" s="1726">
        <f t="shared" si="31"/>
        <v>1.3061508459869596E-3</v>
      </c>
      <c r="AE177" s="1726">
        <f t="shared" si="31"/>
        <v>1.3200661952934289E-3</v>
      </c>
      <c r="AF177" s="1726">
        <f t="shared" si="31"/>
        <v>1.3323243062588713E-3</v>
      </c>
      <c r="AG177" s="1726">
        <f t="shared" si="31"/>
        <v>1.3468766364854263E-3</v>
      </c>
      <c r="AH177" s="1726">
        <f t="shared" si="31"/>
        <v>1.3618292989422921E-3</v>
      </c>
      <c r="AI177" s="1726">
        <f t="shared" si="31"/>
        <v>1.3774337014532427E-3</v>
      </c>
      <c r="AJ177" s="1726">
        <f t="shared" si="31"/>
        <v>1.3444797951155305E-3</v>
      </c>
      <c r="AK177" s="1726">
        <f t="shared" si="31"/>
        <v>1.2953231216051124E-3</v>
      </c>
      <c r="AL177" s="1726">
        <f t="shared" si="31"/>
        <v>1.2399046872620385E-3</v>
      </c>
      <c r="AM177" s="1726"/>
    </row>
    <row r="178" spans="1:39" ht="15.75" customHeight="1" x14ac:dyDescent="0.25">
      <c r="A178" s="3"/>
      <c r="B178" s="3"/>
      <c r="C178" s="3"/>
      <c r="D178" s="3"/>
      <c r="E178" s="3"/>
      <c r="F178" s="1726"/>
      <c r="G178" s="1726"/>
      <c r="H178" s="1726"/>
      <c r="I178" s="1726"/>
      <c r="J178" s="1726"/>
      <c r="K178" s="1726"/>
      <c r="L178" s="1726"/>
      <c r="M178" s="1726"/>
      <c r="N178" s="1726"/>
      <c r="O178" s="1726"/>
      <c r="P178" s="1726"/>
      <c r="Q178" s="1726"/>
      <c r="R178" s="1726"/>
      <c r="S178" s="1726"/>
      <c r="T178" s="1726"/>
      <c r="U178" s="1726"/>
      <c r="V178" s="1726"/>
      <c r="W178" s="1726"/>
      <c r="X178" s="1726"/>
      <c r="Y178" s="1726"/>
      <c r="Z178" s="1726"/>
      <c r="AA178" s="1726"/>
      <c r="AB178" s="1726"/>
      <c r="AC178" s="1726"/>
      <c r="AD178" s="1726"/>
      <c r="AE178" s="1726"/>
      <c r="AF178" s="1726"/>
      <c r="AG178" s="1726"/>
      <c r="AH178" s="1726"/>
      <c r="AI178" s="1726"/>
      <c r="AJ178" s="1726"/>
      <c r="AK178" s="1726"/>
      <c r="AL178" s="1726"/>
      <c r="AM178" s="1726"/>
    </row>
    <row r="179" spans="1:39" ht="15.75" customHeight="1" x14ac:dyDescent="0.25">
      <c r="A179" s="3"/>
      <c r="B179" s="3"/>
      <c r="C179" s="3"/>
      <c r="D179" s="3" t="s">
        <v>1739</v>
      </c>
      <c r="E179" s="3"/>
      <c r="F179" s="1726">
        <f t="shared" ref="F179:AL179" si="32">SUM(F175:F177)</f>
        <v>5.2563741000389652E-3</v>
      </c>
      <c r="G179" s="1726">
        <f t="shared" si="32"/>
        <v>1.1068557646297598E-2</v>
      </c>
      <c r="H179" s="1726">
        <f t="shared" si="32"/>
        <v>3.1516119523157651E-2</v>
      </c>
      <c r="I179" s="1726">
        <f t="shared" si="32"/>
        <v>0.10440732583240926</v>
      </c>
      <c r="J179" s="1726">
        <f t="shared" si="32"/>
        <v>0.25466245726175529</v>
      </c>
      <c r="K179" s="1726">
        <f t="shared" si="32"/>
        <v>0.56577120596727493</v>
      </c>
      <c r="L179" s="1726">
        <f t="shared" si="32"/>
        <v>0.80017698659459746</v>
      </c>
      <c r="M179" s="1726">
        <f t="shared" si="32"/>
        <v>1.0175847954752595</v>
      </c>
      <c r="N179" s="1726">
        <f t="shared" si="32"/>
        <v>1.1737001858386173</v>
      </c>
      <c r="O179" s="1726">
        <f t="shared" si="32"/>
        <v>1.3361797354230962</v>
      </c>
      <c r="P179" s="1726">
        <f t="shared" si="32"/>
        <v>1.4718983344493013</v>
      </c>
      <c r="Q179" s="1726">
        <f t="shared" si="32"/>
        <v>1.6073244786312031</v>
      </c>
      <c r="R179" s="1726">
        <f t="shared" si="32"/>
        <v>1.7108987634270374</v>
      </c>
      <c r="S179" s="1726">
        <f t="shared" si="32"/>
        <v>1.8058436475285418</v>
      </c>
      <c r="T179" s="1726">
        <f t="shared" si="32"/>
        <v>1.892721895058693</v>
      </c>
      <c r="U179" s="1726">
        <f t="shared" si="32"/>
        <v>1.9948847399615837</v>
      </c>
      <c r="V179" s="1726">
        <f t="shared" si="32"/>
        <v>2.1307508309377847</v>
      </c>
      <c r="W179" s="1726">
        <f t="shared" si="32"/>
        <v>2.2814755510324987</v>
      </c>
      <c r="X179" s="1726">
        <f t="shared" si="32"/>
        <v>2.4473334774856661</v>
      </c>
      <c r="Y179" s="1726">
        <f t="shared" si="32"/>
        <v>2.5187090935170882</v>
      </c>
      <c r="Z179" s="1726">
        <f t="shared" si="32"/>
        <v>2.3978301768163894</v>
      </c>
      <c r="AA179" s="1726">
        <f t="shared" si="32"/>
        <v>2.552167680655177</v>
      </c>
      <c r="AB179" s="1726">
        <f t="shared" si="32"/>
        <v>2.7154732481480219</v>
      </c>
      <c r="AC179" s="1726">
        <f t="shared" si="32"/>
        <v>3.156354711172169</v>
      </c>
      <c r="AD179" s="1726">
        <f t="shared" si="32"/>
        <v>3.6312493039771221</v>
      </c>
      <c r="AE179" s="1726">
        <f t="shared" si="32"/>
        <v>3.5286886623681872</v>
      </c>
      <c r="AF179" s="1726">
        <f t="shared" si="32"/>
        <v>3.5661160213958789</v>
      </c>
      <c r="AG179" s="1726">
        <f t="shared" si="32"/>
        <v>3.0367418776947352</v>
      </c>
      <c r="AH179" s="1726">
        <f t="shared" si="32"/>
        <v>3.4474360315304886</v>
      </c>
      <c r="AI179" s="1726">
        <f t="shared" si="32"/>
        <v>3.2765171603909025</v>
      </c>
      <c r="AJ179" s="1726">
        <f t="shared" si="32"/>
        <v>3.6913250382622369</v>
      </c>
      <c r="AK179" s="1726">
        <f t="shared" si="32"/>
        <v>3.8302795167101014</v>
      </c>
      <c r="AL179" s="1726">
        <f t="shared" si="32"/>
        <v>3.9455160564523601</v>
      </c>
      <c r="AM179" s="1726"/>
    </row>
    <row r="180" spans="1:39"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row>
    <row r="181" spans="1:39" ht="15.75" customHeight="1" x14ac:dyDescent="0.25">
      <c r="A181" s="3"/>
      <c r="B181" s="1727" t="s">
        <v>1740</v>
      </c>
      <c r="C181" s="1724"/>
      <c r="D181" s="1724"/>
      <c r="E181" s="1724"/>
      <c r="F181" s="1724"/>
      <c r="G181" s="1724"/>
      <c r="H181" s="1724"/>
      <c r="I181" s="1724"/>
      <c r="J181" s="1724"/>
      <c r="K181" s="1724"/>
      <c r="L181" s="1724"/>
      <c r="M181" s="1724"/>
      <c r="N181" s="1724"/>
      <c r="O181" s="1724"/>
      <c r="P181" s="1724"/>
      <c r="Q181" s="1724"/>
      <c r="R181" s="1724"/>
      <c r="S181" s="1724"/>
      <c r="T181" s="1724"/>
      <c r="U181" s="1724"/>
      <c r="V181" s="1724"/>
      <c r="W181" s="1724"/>
      <c r="X181" s="1724"/>
      <c r="Y181" s="1724"/>
      <c r="Z181" s="1724"/>
      <c r="AA181" s="1724"/>
      <c r="AB181" s="1724"/>
      <c r="AC181" s="1724"/>
      <c r="AD181" s="1724"/>
      <c r="AE181" s="1724"/>
      <c r="AF181" s="1724"/>
      <c r="AG181" s="1724"/>
      <c r="AH181" s="1724"/>
      <c r="AI181" s="1724"/>
      <c r="AJ181" s="1724"/>
      <c r="AK181" s="1724"/>
      <c r="AL181" s="1724"/>
      <c r="AM181" s="1725"/>
    </row>
    <row r="182" spans="1:39"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row>
    <row r="183" spans="1:39" ht="15.75" customHeight="1" x14ac:dyDescent="0.25">
      <c r="A183" s="3"/>
      <c r="B183" s="1729" t="s">
        <v>2</v>
      </c>
      <c r="C183" s="1730"/>
      <c r="D183" s="1730"/>
      <c r="E183" s="1730"/>
      <c r="F183" s="1730"/>
      <c r="G183" s="1730"/>
      <c r="H183" s="1730"/>
      <c r="I183" s="1730"/>
      <c r="J183" s="1730"/>
      <c r="K183" s="1730"/>
      <c r="L183" s="1730"/>
      <c r="M183" s="1730"/>
      <c r="N183" s="1730"/>
      <c r="O183" s="1730"/>
      <c r="P183" s="1730"/>
      <c r="Q183" s="1730"/>
      <c r="R183" s="1730"/>
      <c r="S183" s="1730"/>
      <c r="T183" s="1730"/>
      <c r="U183" s="1730"/>
      <c r="V183" s="1730"/>
      <c r="W183" s="1730"/>
      <c r="X183" s="1730"/>
      <c r="Y183" s="1730"/>
      <c r="Z183" s="1730"/>
      <c r="AA183" s="1730"/>
      <c r="AB183" s="1730"/>
      <c r="AC183" s="1730"/>
      <c r="AD183" s="1730"/>
      <c r="AE183" s="1730"/>
      <c r="AF183" s="1730"/>
      <c r="AG183" s="1730"/>
      <c r="AH183" s="1730"/>
      <c r="AI183" s="1730"/>
      <c r="AJ183" s="1730"/>
      <c r="AK183" s="1730"/>
      <c r="AL183" s="1730"/>
      <c r="AM183" s="1733"/>
    </row>
    <row r="184" spans="1:39" ht="15.75" customHeight="1" x14ac:dyDescent="0.25">
      <c r="A184" s="3"/>
      <c r="B184" s="1714" t="s">
        <v>1631</v>
      </c>
      <c r="C184" s="3"/>
      <c r="D184" s="1714"/>
      <c r="E184" s="1714"/>
      <c r="F184" s="1714" t="s">
        <v>1635</v>
      </c>
      <c r="G184" s="1714" t="s">
        <v>1636</v>
      </c>
      <c r="H184" s="1714" t="s">
        <v>1637</v>
      </c>
      <c r="I184" s="1714" t="s">
        <v>1638</v>
      </c>
      <c r="J184" s="1714" t="s">
        <v>1639</v>
      </c>
      <c r="K184" s="1714" t="s">
        <v>1640</v>
      </c>
      <c r="L184" s="1714" t="s">
        <v>1641</v>
      </c>
      <c r="M184" s="1714" t="s">
        <v>1642</v>
      </c>
      <c r="N184" s="1714" t="s">
        <v>1643</v>
      </c>
      <c r="O184" s="1714" t="s">
        <v>1644</v>
      </c>
      <c r="P184" s="1714" t="s">
        <v>1645</v>
      </c>
      <c r="Q184" s="1714" t="s">
        <v>1646</v>
      </c>
      <c r="R184" s="1714" t="s">
        <v>1647</v>
      </c>
      <c r="S184" s="1714" t="s">
        <v>1648</v>
      </c>
      <c r="T184" s="1714" t="s">
        <v>1649</v>
      </c>
      <c r="U184" s="1714" t="s">
        <v>1650</v>
      </c>
      <c r="V184" s="1714" t="s">
        <v>1651</v>
      </c>
      <c r="W184" s="1714" t="s">
        <v>1652</v>
      </c>
      <c r="X184" s="1714" t="s">
        <v>1653</v>
      </c>
      <c r="Y184" s="1714" t="s">
        <v>1654</v>
      </c>
      <c r="Z184" s="1714" t="s">
        <v>1655</v>
      </c>
      <c r="AA184" s="1714" t="s">
        <v>1656</v>
      </c>
      <c r="AB184" s="1714" t="s">
        <v>1657</v>
      </c>
      <c r="AC184" s="1714" t="s">
        <v>1658</v>
      </c>
      <c r="AD184" s="1714" t="s">
        <v>1659</v>
      </c>
      <c r="AE184" s="1714" t="s">
        <v>1660</v>
      </c>
      <c r="AF184" s="1714" t="s">
        <v>1661</v>
      </c>
      <c r="AG184" s="1714" t="s">
        <v>1662</v>
      </c>
      <c r="AH184" s="1714" t="s">
        <v>1663</v>
      </c>
      <c r="AI184" s="1714" t="s">
        <v>1664</v>
      </c>
      <c r="AJ184" s="1714" t="s">
        <v>1665</v>
      </c>
      <c r="AK184" s="1714" t="s">
        <v>1666</v>
      </c>
      <c r="AL184" s="1714" t="s">
        <v>1667</v>
      </c>
      <c r="AM184" s="1714"/>
    </row>
    <row r="185" spans="1:39" ht="15.75" customHeight="1" x14ac:dyDescent="0.25">
      <c r="A185" s="3"/>
      <c r="B185" s="3" t="s">
        <v>1668</v>
      </c>
      <c r="C185" s="3"/>
      <c r="D185" s="3"/>
      <c r="E185" s="3"/>
      <c r="F185" s="1726">
        <f t="shared" ref="F185:AL190" si="33">SUMIF($B$16:$B$49,$B185,F$16:F$49)</f>
        <v>0</v>
      </c>
      <c r="G185" s="1726">
        <f t="shared" si="33"/>
        <v>0</v>
      </c>
      <c r="H185" s="1726">
        <f t="shared" si="33"/>
        <v>0</v>
      </c>
      <c r="I185" s="1726">
        <f t="shared" si="33"/>
        <v>0</v>
      </c>
      <c r="J185" s="1726">
        <f t="shared" si="33"/>
        <v>7.2105919715150286E-5</v>
      </c>
      <c r="K185" s="1726">
        <f t="shared" si="33"/>
        <v>6.1285513036061275E-4</v>
      </c>
      <c r="L185" s="1726">
        <f t="shared" si="33"/>
        <v>1.5063543721975246E-3</v>
      </c>
      <c r="M185" s="1726">
        <f t="shared" si="33"/>
        <v>3.0434438681324707E-3</v>
      </c>
      <c r="N185" s="1726">
        <f t="shared" si="33"/>
        <v>5.1295941830848436E-3</v>
      </c>
      <c r="O185" s="1726">
        <f t="shared" si="33"/>
        <v>8.0316148717966118E-3</v>
      </c>
      <c r="P185" s="1726">
        <f t="shared" si="33"/>
        <v>1.0889911130349221E-2</v>
      </c>
      <c r="Q185" s="1726">
        <f t="shared" si="33"/>
        <v>1.3712062262757939E-2</v>
      </c>
      <c r="R185" s="1726">
        <f t="shared" si="33"/>
        <v>1.648562969924406E-2</v>
      </c>
      <c r="S185" s="1726">
        <f t="shared" si="33"/>
        <v>1.8665333965892102E-2</v>
      </c>
      <c r="T185" s="1726">
        <f t="shared" si="33"/>
        <v>2.0647262373855866E-2</v>
      </c>
      <c r="U185" s="1726">
        <f t="shared" si="33"/>
        <v>2.2410144640867428E-2</v>
      </c>
      <c r="V185" s="1726">
        <f t="shared" si="33"/>
        <v>2.4110369744410529E-2</v>
      </c>
      <c r="W185" s="1726">
        <f t="shared" si="33"/>
        <v>2.574518539645845E-2</v>
      </c>
      <c r="X185" s="1726">
        <f t="shared" si="33"/>
        <v>2.7361503739153973E-2</v>
      </c>
      <c r="Y185" s="1726">
        <f t="shared" si="33"/>
        <v>2.843524224429549E-2</v>
      </c>
      <c r="Z185" s="1726">
        <f t="shared" si="33"/>
        <v>3.0012131374129055E-2</v>
      </c>
      <c r="AA185" s="1726">
        <f t="shared" si="33"/>
        <v>3.187452525702545E-2</v>
      </c>
      <c r="AB185" s="1726">
        <f t="shared" si="33"/>
        <v>3.3837802970205E-2</v>
      </c>
      <c r="AC185" s="1726">
        <f t="shared" si="33"/>
        <v>3.5594791565102715E-2</v>
      </c>
      <c r="AD185" s="1726">
        <f t="shared" si="33"/>
        <v>3.7951465300442244E-2</v>
      </c>
      <c r="AE185" s="1726">
        <f t="shared" si="33"/>
        <v>3.9063849322567672E-2</v>
      </c>
      <c r="AF185" s="1726">
        <f t="shared" si="33"/>
        <v>4.1136276684157522E-2</v>
      </c>
      <c r="AG185" s="1726">
        <f t="shared" si="33"/>
        <v>4.1654561205707652E-2</v>
      </c>
      <c r="AH185" s="1726">
        <f t="shared" si="33"/>
        <v>4.371463553219207E-2</v>
      </c>
      <c r="AI185" s="1726">
        <f t="shared" si="33"/>
        <v>4.4439641097130965E-2</v>
      </c>
      <c r="AJ185" s="1726">
        <f t="shared" si="33"/>
        <v>4.6456465734988968E-2</v>
      </c>
      <c r="AK185" s="1726">
        <f t="shared" si="33"/>
        <v>4.7456699884263986E-2</v>
      </c>
      <c r="AL185" s="1726">
        <f t="shared" si="33"/>
        <v>4.8308508674681477E-2</v>
      </c>
      <c r="AM185" s="1726"/>
    </row>
    <row r="186" spans="1:39" ht="15.75" customHeight="1" x14ac:dyDescent="0.25">
      <c r="A186" s="3"/>
      <c r="B186" s="3" t="s">
        <v>1670</v>
      </c>
      <c r="C186" s="3"/>
      <c r="D186" s="3"/>
      <c r="E186" s="3"/>
      <c r="F186" s="1726">
        <f t="shared" si="33"/>
        <v>1.2498464374573599E-4</v>
      </c>
      <c r="G186" s="1726">
        <f t="shared" si="33"/>
        <v>1.9759599133754223E-4</v>
      </c>
      <c r="H186" s="1726">
        <f t="shared" si="33"/>
        <v>2.7646125233332587E-4</v>
      </c>
      <c r="I186" s="1726">
        <f t="shared" si="33"/>
        <v>3.6181180050382433E-4</v>
      </c>
      <c r="J186" s="1726">
        <f t="shared" si="33"/>
        <v>3.897996485494196E-4</v>
      </c>
      <c r="K186" s="1726">
        <f t="shared" si="33"/>
        <v>7.1059808027374252E-4</v>
      </c>
      <c r="L186" s="1726">
        <f t="shared" si="33"/>
        <v>1.6094511220163697E-3</v>
      </c>
      <c r="M186" s="1726">
        <f t="shared" si="33"/>
        <v>2.5545761530009511E-3</v>
      </c>
      <c r="N186" s="1726">
        <f t="shared" si="33"/>
        <v>3.5550703975006622E-3</v>
      </c>
      <c r="O186" s="1726">
        <f t="shared" si="33"/>
        <v>4.6011209287602599E-3</v>
      </c>
      <c r="P186" s="1726">
        <f t="shared" si="33"/>
        <v>4.9468350824592279E-3</v>
      </c>
      <c r="Q186" s="1726">
        <f t="shared" si="33"/>
        <v>5.9345380482300741E-3</v>
      </c>
      <c r="R186" s="1726">
        <f t="shared" si="33"/>
        <v>2.6261543295702759E-2</v>
      </c>
      <c r="S186" s="1726">
        <f t="shared" si="33"/>
        <v>5.0150414900290999E-2</v>
      </c>
      <c r="T186" s="1726">
        <f t="shared" si="33"/>
        <v>5.6296376737982094E-2</v>
      </c>
      <c r="U186" s="1726">
        <f t="shared" si="33"/>
        <v>6.2565220005701597E-2</v>
      </c>
      <c r="V186" s="1726">
        <f t="shared" si="33"/>
        <v>6.8946562255248575E-2</v>
      </c>
      <c r="W186" s="1726">
        <f t="shared" si="33"/>
        <v>7.5423791953472971E-2</v>
      </c>
      <c r="X186" s="1726">
        <f t="shared" si="33"/>
        <v>8.1740815288038171E-2</v>
      </c>
      <c r="Y186" s="1726">
        <f t="shared" si="33"/>
        <v>0.10761159151881834</v>
      </c>
      <c r="Z186" s="1726">
        <f t="shared" si="33"/>
        <v>0.12794764263886921</v>
      </c>
      <c r="AA186" s="1726">
        <f t="shared" si="33"/>
        <v>0.1392134734480811</v>
      </c>
      <c r="AB186" s="1726">
        <f t="shared" si="33"/>
        <v>0.15046983128053817</v>
      </c>
      <c r="AC186" s="1726">
        <f t="shared" si="33"/>
        <v>0.18357247635046137</v>
      </c>
      <c r="AD186" s="1726">
        <f t="shared" si="33"/>
        <v>0.21234430451263558</v>
      </c>
      <c r="AE186" s="1726">
        <f t="shared" si="33"/>
        <v>0.23110579810893955</v>
      </c>
      <c r="AF186" s="1726">
        <f t="shared" si="33"/>
        <v>0.23949444068247275</v>
      </c>
      <c r="AG186" s="1726">
        <f t="shared" si="33"/>
        <v>0.23805963762431312</v>
      </c>
      <c r="AH186" s="1726">
        <f t="shared" si="33"/>
        <v>0.25513604821928398</v>
      </c>
      <c r="AI186" s="1726">
        <f t="shared" si="33"/>
        <v>0.25069838634141794</v>
      </c>
      <c r="AJ186" s="1726">
        <f t="shared" si="33"/>
        <v>0.25757600940917913</v>
      </c>
      <c r="AK186" s="1726">
        <f t="shared" si="33"/>
        <v>0.20133840239177225</v>
      </c>
      <c r="AL186" s="1726">
        <f t="shared" si="33"/>
        <v>0.2175595808811642</v>
      </c>
      <c r="AM186" s="1726"/>
    </row>
    <row r="187" spans="1:39" ht="15.75" customHeight="1" x14ac:dyDescent="0.25">
      <c r="A187" s="3"/>
      <c r="B187" s="3" t="s">
        <v>1675</v>
      </c>
      <c r="C187" s="3"/>
      <c r="D187" s="3"/>
      <c r="E187" s="3"/>
      <c r="F187" s="1726">
        <f t="shared" si="33"/>
        <v>0</v>
      </c>
      <c r="G187" s="1726">
        <f t="shared" si="33"/>
        <v>0</v>
      </c>
      <c r="H187" s="1726">
        <f t="shared" si="33"/>
        <v>0</v>
      </c>
      <c r="I187" s="1726">
        <f t="shared" si="33"/>
        <v>0</v>
      </c>
      <c r="J187" s="1726">
        <f t="shared" si="33"/>
        <v>0</v>
      </c>
      <c r="K187" s="1726">
        <f t="shared" si="33"/>
        <v>0</v>
      </c>
      <c r="L187" s="1726">
        <f t="shared" si="33"/>
        <v>0</v>
      </c>
      <c r="M187" s="1726">
        <f t="shared" si="33"/>
        <v>3.2235782254365608E-4</v>
      </c>
      <c r="N187" s="1726">
        <f t="shared" si="33"/>
        <v>6.5270642478647929E-4</v>
      </c>
      <c r="O187" s="1726">
        <f t="shared" si="33"/>
        <v>9.9047932329365059E-4</v>
      </c>
      <c r="P187" s="1726">
        <f t="shared" si="33"/>
        <v>1.371567092698403E-3</v>
      </c>
      <c r="Q187" s="1726">
        <f t="shared" si="33"/>
        <v>3.1367205233573548E-3</v>
      </c>
      <c r="R187" s="1726">
        <f t="shared" si="33"/>
        <v>4.9577196476018647E-3</v>
      </c>
      <c r="S187" s="1726">
        <f t="shared" si="33"/>
        <v>6.8239834112029498E-3</v>
      </c>
      <c r="T187" s="1726">
        <f t="shared" si="33"/>
        <v>8.7482454746959041E-3</v>
      </c>
      <c r="U187" s="1726">
        <f t="shared" si="33"/>
        <v>1.0728317244315449E-2</v>
      </c>
      <c r="V187" s="1726">
        <f t="shared" si="33"/>
        <v>1.274075218509407E-2</v>
      </c>
      <c r="W187" s="1726">
        <f t="shared" si="33"/>
        <v>1.5873296838508563E-2</v>
      </c>
      <c r="X187" s="1726">
        <f t="shared" si="33"/>
        <v>1.866954517859909E-2</v>
      </c>
      <c r="Y187" s="1726">
        <f t="shared" si="33"/>
        <v>2.1214494125891267E-2</v>
      </c>
      <c r="Z187" s="1726">
        <f t="shared" si="33"/>
        <v>2.1552270045706118E-2</v>
      </c>
      <c r="AA187" s="1726">
        <f t="shared" si="33"/>
        <v>2.4259664127360824E-2</v>
      </c>
      <c r="AB187" s="1726">
        <f t="shared" si="33"/>
        <v>2.4306866839050797E-2</v>
      </c>
      <c r="AC187" s="1726">
        <f t="shared" si="33"/>
        <v>2.8509269544091088E-2</v>
      </c>
      <c r="AD187" s="1726">
        <f t="shared" si="33"/>
        <v>2.9432072155723694E-2</v>
      </c>
      <c r="AE187" s="1726">
        <f t="shared" si="33"/>
        <v>2.5623627137663661E-2</v>
      </c>
      <c r="AF187" s="1726">
        <f t="shared" si="33"/>
        <v>3.0328428800894203E-2</v>
      </c>
      <c r="AG187" s="1726">
        <f t="shared" si="33"/>
        <v>3.3174207015971305E-2</v>
      </c>
      <c r="AH187" s="1726">
        <f t="shared" si="33"/>
        <v>4.1168884090298202E-2</v>
      </c>
      <c r="AI187" s="1726">
        <f t="shared" si="33"/>
        <v>4.0876081697963168E-2</v>
      </c>
      <c r="AJ187" s="1726">
        <f t="shared" si="33"/>
        <v>4.4901273365417868E-2</v>
      </c>
      <c r="AK187" s="1726">
        <f t="shared" si="33"/>
        <v>4.5575131534607419E-2</v>
      </c>
      <c r="AL187" s="1726">
        <f t="shared" si="33"/>
        <v>2.7703232964750114E-2</v>
      </c>
      <c r="AM187" s="1726"/>
    </row>
    <row r="188" spans="1:39" ht="15.75" customHeight="1" x14ac:dyDescent="0.25">
      <c r="A188" s="3"/>
      <c r="B188" s="3" t="s">
        <v>1676</v>
      </c>
      <c r="C188" s="3"/>
      <c r="D188" s="3"/>
      <c r="E188" s="3"/>
      <c r="F188" s="1726">
        <f t="shared" si="33"/>
        <v>4.3648724486724348E-3</v>
      </c>
      <c r="G188" s="1726">
        <f t="shared" si="33"/>
        <v>9.5683674503027998E-3</v>
      </c>
      <c r="H188" s="1726">
        <f t="shared" si="33"/>
        <v>9.5453743608877092E-3</v>
      </c>
      <c r="I188" s="1726">
        <f t="shared" si="33"/>
        <v>9.5139138736681089E-3</v>
      </c>
      <c r="J188" s="1726">
        <f t="shared" si="33"/>
        <v>2.2336436916164441E-2</v>
      </c>
      <c r="K188" s="1726">
        <f t="shared" si="33"/>
        <v>0.14249635803079547</v>
      </c>
      <c r="L188" s="1726">
        <f t="shared" si="33"/>
        <v>0.16428444804518955</v>
      </c>
      <c r="M188" s="1726">
        <f t="shared" si="33"/>
        <v>0.18357195880718782</v>
      </c>
      <c r="N188" s="1726">
        <f t="shared" si="33"/>
        <v>0.19409531908322991</v>
      </c>
      <c r="O188" s="1726">
        <f t="shared" si="33"/>
        <v>0.20002539765614638</v>
      </c>
      <c r="P188" s="1726">
        <f t="shared" si="33"/>
        <v>0.20302055561944649</v>
      </c>
      <c r="Q188" s="1726">
        <f t="shared" si="33"/>
        <v>0.19716429964788568</v>
      </c>
      <c r="R188" s="1726">
        <f t="shared" si="33"/>
        <v>0.18992898294159932</v>
      </c>
      <c r="S188" s="1726">
        <f t="shared" si="33"/>
        <v>0.18244408859058514</v>
      </c>
      <c r="T188" s="1726">
        <f t="shared" si="33"/>
        <v>0.17347940243594798</v>
      </c>
      <c r="U188" s="1726">
        <f t="shared" si="33"/>
        <v>0.16432449450813258</v>
      </c>
      <c r="V188" s="1726">
        <f t="shared" si="33"/>
        <v>0.17484916357473831</v>
      </c>
      <c r="W188" s="1726">
        <f t="shared" si="33"/>
        <v>0.18660684616148177</v>
      </c>
      <c r="X188" s="1726">
        <f t="shared" si="33"/>
        <v>0.19690119142231979</v>
      </c>
      <c r="Y188" s="1726">
        <f t="shared" si="33"/>
        <v>0.21703192252970996</v>
      </c>
      <c r="Z188" s="1726">
        <f t="shared" si="33"/>
        <v>0.21694866571903881</v>
      </c>
      <c r="AA188" s="1726">
        <f t="shared" si="33"/>
        <v>0.2319557928079265</v>
      </c>
      <c r="AB188" s="1726">
        <f t="shared" si="33"/>
        <v>0.24585585413519162</v>
      </c>
      <c r="AC188" s="1726">
        <f t="shared" si="33"/>
        <v>0.30931219857155656</v>
      </c>
      <c r="AD188" s="1726">
        <f t="shared" si="33"/>
        <v>0.35785848599361852</v>
      </c>
      <c r="AE188" s="1726">
        <f t="shared" si="33"/>
        <v>0.35417630598851529</v>
      </c>
      <c r="AF188" s="1726">
        <f t="shared" si="33"/>
        <v>0.31155823757133505</v>
      </c>
      <c r="AG188" s="1726">
        <f t="shared" si="33"/>
        <v>0.2619618412667587</v>
      </c>
      <c r="AH188" s="1726">
        <f t="shared" si="33"/>
        <v>0.25713474347671533</v>
      </c>
      <c r="AI188" s="1726">
        <f t="shared" si="33"/>
        <v>0.25691276844907202</v>
      </c>
      <c r="AJ188" s="1726">
        <f t="shared" si="33"/>
        <v>0.28403062158509718</v>
      </c>
      <c r="AK188" s="1726">
        <f t="shared" si="33"/>
        <v>0.29011712984193122</v>
      </c>
      <c r="AL188" s="1726">
        <f t="shared" si="33"/>
        <v>0.29573110855496204</v>
      </c>
      <c r="AM188" s="1726"/>
    </row>
    <row r="189" spans="1:39" ht="15.75" customHeight="1" x14ac:dyDescent="0.25">
      <c r="A189" s="3"/>
      <c r="B189" s="3" t="s">
        <v>1671</v>
      </c>
      <c r="C189" s="3"/>
      <c r="D189" s="3"/>
      <c r="E189" s="3"/>
      <c r="F189" s="1726">
        <f t="shared" si="33"/>
        <v>2.9619075653216937E-4</v>
      </c>
      <c r="G189" s="1726">
        <f t="shared" si="33"/>
        <v>3.1200429586594226E-4</v>
      </c>
      <c r="H189" s="1726">
        <f t="shared" si="33"/>
        <v>1.7633592270480294E-2</v>
      </c>
      <c r="I189" s="1726">
        <f t="shared" si="33"/>
        <v>7.9574229708700844E-2</v>
      </c>
      <c r="J189" s="1726">
        <f t="shared" si="33"/>
        <v>0.19448125374473932</v>
      </c>
      <c r="K189" s="1726">
        <f t="shared" si="33"/>
        <v>0.31400197478674224</v>
      </c>
      <c r="L189" s="1726">
        <f t="shared" si="33"/>
        <v>0.46015383285188821</v>
      </c>
      <c r="M189" s="1726">
        <f t="shared" si="33"/>
        <v>0.61738084871837051</v>
      </c>
      <c r="N189" s="1726">
        <f t="shared" si="33"/>
        <v>0.7356267450632179</v>
      </c>
      <c r="O189" s="1726">
        <f t="shared" si="33"/>
        <v>0.86217801886727308</v>
      </c>
      <c r="P189" s="1726">
        <f t="shared" si="33"/>
        <v>0.97826330945906137</v>
      </c>
      <c r="Q189" s="1726">
        <f t="shared" si="33"/>
        <v>1.1012392171784913</v>
      </c>
      <c r="R189" s="1726">
        <f t="shared" si="33"/>
        <v>1.1802655703733531</v>
      </c>
      <c r="S189" s="1726">
        <f t="shared" si="33"/>
        <v>1.2497770583538761</v>
      </c>
      <c r="T189" s="1726">
        <f t="shared" si="33"/>
        <v>1.3219874532615901</v>
      </c>
      <c r="U189" s="1726">
        <f t="shared" si="33"/>
        <v>1.4078983065449879</v>
      </c>
      <c r="V189" s="1726">
        <f t="shared" si="33"/>
        <v>1.5025656872957627</v>
      </c>
      <c r="W189" s="1726">
        <f t="shared" si="33"/>
        <v>1.6074718288358312</v>
      </c>
      <c r="X189" s="1726">
        <f t="shared" si="33"/>
        <v>1.7270147715717168</v>
      </c>
      <c r="Y189" s="1726">
        <f t="shared" si="33"/>
        <v>1.7383094998113409</v>
      </c>
      <c r="Z189" s="1726">
        <f t="shared" si="33"/>
        <v>1.6134449309464605</v>
      </c>
      <c r="AA189" s="1726">
        <f t="shared" si="33"/>
        <v>1.7118967392457112</v>
      </c>
      <c r="AB189" s="1726">
        <f t="shared" si="33"/>
        <v>1.8210645635757408</v>
      </c>
      <c r="AC189" s="1726">
        <f t="shared" si="33"/>
        <v>2.0918267720574595</v>
      </c>
      <c r="AD189" s="1726">
        <f t="shared" si="33"/>
        <v>2.4123552464598168</v>
      </c>
      <c r="AE189" s="1726">
        <f t="shared" si="33"/>
        <v>2.3139651753098818</v>
      </c>
      <c r="AF189" s="1726">
        <f t="shared" si="33"/>
        <v>2.3731707047113733</v>
      </c>
      <c r="AG189" s="1726">
        <f t="shared" si="33"/>
        <v>1.9765263214466349</v>
      </c>
      <c r="AH189" s="1726">
        <f t="shared" si="33"/>
        <v>2.2995525386553797</v>
      </c>
      <c r="AI189" s="1726">
        <f t="shared" si="33"/>
        <v>2.1603959533344215</v>
      </c>
      <c r="AJ189" s="1726">
        <f t="shared" si="33"/>
        <v>2.4707507223107195</v>
      </c>
      <c r="AK189" s="1726">
        <f t="shared" si="33"/>
        <v>2.6375174546459652</v>
      </c>
      <c r="AL189" s="1726">
        <f t="shared" si="33"/>
        <v>2.7310221568546873</v>
      </c>
      <c r="AM189" s="1726"/>
    </row>
    <row r="190" spans="1:39" ht="15.75" customHeight="1" x14ac:dyDescent="0.25">
      <c r="A190" s="3"/>
      <c r="B190" s="3" t="s">
        <v>1682</v>
      </c>
      <c r="C190" s="3"/>
      <c r="D190" s="3"/>
      <c r="E190" s="3"/>
      <c r="F190" s="1726">
        <f t="shared" si="33"/>
        <v>0</v>
      </c>
      <c r="G190" s="1726">
        <f t="shared" si="33"/>
        <v>0</v>
      </c>
      <c r="H190" s="1726">
        <f t="shared" si="33"/>
        <v>0</v>
      </c>
      <c r="I190" s="1726">
        <f t="shared" si="33"/>
        <v>0</v>
      </c>
      <c r="J190" s="1726">
        <f t="shared" si="33"/>
        <v>0</v>
      </c>
      <c r="K190" s="1726">
        <f t="shared" si="33"/>
        <v>2.0155536417350836E-2</v>
      </c>
      <c r="L190" s="1726">
        <f t="shared" si="33"/>
        <v>4.4107440217010532E-2</v>
      </c>
      <c r="M190" s="1726">
        <f t="shared" si="33"/>
        <v>4.803083225204071E-2</v>
      </c>
      <c r="N190" s="1726">
        <f t="shared" si="33"/>
        <v>4.8865841943775495E-2</v>
      </c>
      <c r="O190" s="1726">
        <f t="shared" si="33"/>
        <v>4.9749338059828216E-2</v>
      </c>
      <c r="P190" s="1726">
        <f t="shared" si="33"/>
        <v>4.5063302006180542E-2</v>
      </c>
      <c r="Q190" s="1726">
        <f t="shared" si="33"/>
        <v>4.0276417117818243E-2</v>
      </c>
      <c r="R190" s="1726">
        <f t="shared" si="33"/>
        <v>3.5285645908823694E-2</v>
      </c>
      <c r="S190" s="1726">
        <f t="shared" si="33"/>
        <v>3.0003657057189485E-2</v>
      </c>
      <c r="T190" s="1726">
        <f t="shared" si="33"/>
        <v>3.0606134147674113E-2</v>
      </c>
      <c r="U190" s="1726">
        <f t="shared" si="33"/>
        <v>3.0630470293182332E-2</v>
      </c>
      <c r="V190" s="1726">
        <f t="shared" si="33"/>
        <v>3.057286384565408E-2</v>
      </c>
      <c r="W190" s="1726">
        <f t="shared" si="33"/>
        <v>3.0462796370103348E-2</v>
      </c>
      <c r="X190" s="1726">
        <f t="shared" si="33"/>
        <v>3.0371616797719554E-2</v>
      </c>
      <c r="Y190" s="1726">
        <f t="shared" si="33"/>
        <v>3.0362264191720709E-2</v>
      </c>
      <c r="Z190" s="1726">
        <f t="shared" si="33"/>
        <v>3.103227403626806E-2</v>
      </c>
      <c r="AA190" s="1726">
        <f t="shared" si="33"/>
        <v>3.1710293425038373E-2</v>
      </c>
      <c r="AB190" s="1726">
        <f t="shared" si="33"/>
        <v>3.2380473308252521E-2</v>
      </c>
      <c r="AC190" s="1726">
        <f t="shared" si="33"/>
        <v>3.3012349052362798E-2</v>
      </c>
      <c r="AD190" s="1726">
        <f t="shared" si="33"/>
        <v>3.3632343709609977E-2</v>
      </c>
      <c r="AE190" s="1726">
        <f t="shared" si="33"/>
        <v>3.42254472906625E-2</v>
      </c>
      <c r="AF190" s="1726">
        <f t="shared" si="33"/>
        <v>3.4775136345906607E-2</v>
      </c>
      <c r="AG190" s="1726">
        <f t="shared" si="33"/>
        <v>3.5382737684634943E-2</v>
      </c>
      <c r="AH190" s="1726">
        <f t="shared" si="33"/>
        <v>3.6000552816871603E-2</v>
      </c>
      <c r="AI190" s="1726">
        <f t="shared" si="33"/>
        <v>3.6633303426304963E-2</v>
      </c>
      <c r="AJ190" s="1726">
        <f t="shared" si="33"/>
        <v>3.7724242229892728E-2</v>
      </c>
      <c r="AK190" s="1726">
        <f t="shared" si="33"/>
        <v>3.8430274994460813E-2</v>
      </c>
      <c r="AL190" s="1726">
        <f t="shared" si="33"/>
        <v>3.8994606853582803E-2</v>
      </c>
      <c r="AM190" s="1726"/>
    </row>
    <row r="191" spans="1:39" ht="15.75" customHeight="1" x14ac:dyDescent="0.25">
      <c r="A191" s="3"/>
      <c r="B191" s="3"/>
      <c r="C191" s="3"/>
      <c r="D191" s="3"/>
      <c r="E191" s="3"/>
      <c r="F191" s="1726"/>
      <c r="G191" s="1726"/>
      <c r="H191" s="1726"/>
      <c r="I191" s="1726"/>
      <c r="J191" s="1726"/>
      <c r="K191" s="1726"/>
      <c r="L191" s="1726"/>
      <c r="M191" s="1726"/>
      <c r="N191" s="1726"/>
      <c r="O191" s="1726"/>
      <c r="P191" s="1726"/>
      <c r="Q191" s="1726"/>
      <c r="R191" s="1726"/>
      <c r="S191" s="1726"/>
      <c r="T191" s="1726"/>
      <c r="U191" s="1726"/>
      <c r="V191" s="1726"/>
      <c r="W191" s="1726"/>
      <c r="X191" s="1726"/>
      <c r="Y191" s="1726"/>
      <c r="Z191" s="1726"/>
      <c r="AA191" s="1726"/>
      <c r="AB191" s="1726"/>
      <c r="AC191" s="1726"/>
      <c r="AD191" s="1726"/>
      <c r="AE191" s="1726"/>
      <c r="AF191" s="1726"/>
      <c r="AG191" s="1726"/>
      <c r="AH191" s="1726"/>
      <c r="AI191" s="1726"/>
      <c r="AJ191" s="1726"/>
      <c r="AK191" s="1726"/>
      <c r="AL191" s="1726"/>
      <c r="AM191" s="1726"/>
    </row>
    <row r="192" spans="1:39" ht="15.75" customHeight="1" x14ac:dyDescent="0.25">
      <c r="A192" s="3"/>
      <c r="B192" s="3" t="s">
        <v>1739</v>
      </c>
      <c r="C192" s="3"/>
      <c r="D192" s="3"/>
      <c r="E192" s="3"/>
      <c r="F192" s="1726">
        <f t="shared" ref="F192:AL192" si="34">SUM(F185:F190)</f>
        <v>4.7860478489503405E-3</v>
      </c>
      <c r="G192" s="1726">
        <f t="shared" si="34"/>
        <v>1.0077967737506284E-2</v>
      </c>
      <c r="H192" s="1726">
        <f t="shared" si="34"/>
        <v>2.7455427883701332E-2</v>
      </c>
      <c r="I192" s="1726">
        <f t="shared" si="34"/>
        <v>8.9449955382872773E-2</v>
      </c>
      <c r="J192" s="1726">
        <f t="shared" si="34"/>
        <v>0.21727959622916831</v>
      </c>
      <c r="K192" s="1726">
        <f t="shared" si="34"/>
        <v>0.47797732244552288</v>
      </c>
      <c r="L192" s="1726">
        <f t="shared" si="34"/>
        <v>0.67166152660830214</v>
      </c>
      <c r="M192" s="1726">
        <f t="shared" si="34"/>
        <v>0.85490401762127621</v>
      </c>
      <c r="N192" s="1726">
        <f t="shared" si="34"/>
        <v>0.9879252770955953</v>
      </c>
      <c r="O192" s="1726">
        <f t="shared" si="34"/>
        <v>1.1255759697070982</v>
      </c>
      <c r="P192" s="1726">
        <f t="shared" si="34"/>
        <v>1.2435554803901954</v>
      </c>
      <c r="Q192" s="1726">
        <f t="shared" si="34"/>
        <v>1.3614632547785406</v>
      </c>
      <c r="R192" s="1726">
        <f t="shared" si="34"/>
        <v>1.4531850918663249</v>
      </c>
      <c r="S192" s="1726">
        <f t="shared" si="34"/>
        <v>1.5378645362790369</v>
      </c>
      <c r="T192" s="1726">
        <f t="shared" si="34"/>
        <v>1.6117648744317461</v>
      </c>
      <c r="U192" s="1726">
        <f t="shared" si="34"/>
        <v>1.6985569532371874</v>
      </c>
      <c r="V192" s="1726">
        <f t="shared" si="34"/>
        <v>1.8137853989009083</v>
      </c>
      <c r="W192" s="1726">
        <f t="shared" si="34"/>
        <v>1.9415837455558564</v>
      </c>
      <c r="X192" s="1726">
        <f t="shared" si="34"/>
        <v>2.0820594439975477</v>
      </c>
      <c r="Y192" s="1726">
        <f t="shared" si="34"/>
        <v>2.1429650144217764</v>
      </c>
      <c r="Z192" s="1726">
        <f t="shared" si="34"/>
        <v>2.0409379147604718</v>
      </c>
      <c r="AA192" s="1726">
        <f t="shared" si="34"/>
        <v>2.1709104883111436</v>
      </c>
      <c r="AB192" s="1726">
        <f t="shared" si="34"/>
        <v>2.307915392108979</v>
      </c>
      <c r="AC192" s="1726">
        <f t="shared" si="34"/>
        <v>2.6818278571410339</v>
      </c>
      <c r="AD192" s="1726">
        <f t="shared" si="34"/>
        <v>3.0835739181318469</v>
      </c>
      <c r="AE192" s="1726">
        <f t="shared" si="34"/>
        <v>2.9981602031582302</v>
      </c>
      <c r="AF192" s="1726">
        <f t="shared" si="34"/>
        <v>3.0304632247961396</v>
      </c>
      <c r="AG192" s="1726">
        <f t="shared" si="34"/>
        <v>2.5867593062440206</v>
      </c>
      <c r="AH192" s="1726">
        <f t="shared" si="34"/>
        <v>2.9327074027907405</v>
      </c>
      <c r="AI192" s="1726">
        <f t="shared" si="34"/>
        <v>2.7899561343463106</v>
      </c>
      <c r="AJ192" s="1726">
        <f t="shared" si="34"/>
        <v>3.1414393346352956</v>
      </c>
      <c r="AK192" s="1726">
        <f t="shared" si="34"/>
        <v>3.2604350932930011</v>
      </c>
      <c r="AL192" s="1726">
        <f t="shared" si="34"/>
        <v>3.3593191947838279</v>
      </c>
      <c r="AM192" s="1726"/>
    </row>
    <row r="193" spans="1:39"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row>
    <row r="194" spans="1:39" ht="15.75" customHeight="1" x14ac:dyDescent="0.25">
      <c r="A194" s="3"/>
      <c r="B194" s="1729" t="s">
        <v>1699</v>
      </c>
      <c r="C194" s="1730"/>
      <c r="D194" s="1730"/>
      <c r="E194" s="1730"/>
      <c r="F194" s="1730"/>
      <c r="G194" s="1730"/>
      <c r="H194" s="1730"/>
      <c r="I194" s="1730"/>
      <c r="J194" s="1730"/>
      <c r="K194" s="1730"/>
      <c r="L194" s="1730"/>
      <c r="M194" s="1730"/>
      <c r="N194" s="1730"/>
      <c r="O194" s="1730"/>
      <c r="P194" s="1730"/>
      <c r="Q194" s="1730"/>
      <c r="R194" s="1730"/>
      <c r="S194" s="1730"/>
      <c r="T194" s="1730"/>
      <c r="U194" s="1730"/>
      <c r="V194" s="1730"/>
      <c r="W194" s="1730"/>
      <c r="X194" s="1730"/>
      <c r="Y194" s="1730"/>
      <c r="Z194" s="1730"/>
      <c r="AA194" s="1730"/>
      <c r="AB194" s="1730"/>
      <c r="AC194" s="1730"/>
      <c r="AD194" s="1730"/>
      <c r="AE194" s="1730"/>
      <c r="AF194" s="1730"/>
      <c r="AG194" s="1730"/>
      <c r="AH194" s="1730"/>
      <c r="AI194" s="1730"/>
      <c r="AJ194" s="1730"/>
      <c r="AK194" s="1730"/>
      <c r="AL194" s="1730"/>
      <c r="AM194" s="1733"/>
    </row>
    <row r="195" spans="1:39" ht="15.75" customHeight="1" x14ac:dyDescent="0.25">
      <c r="A195" s="3"/>
      <c r="B195" s="1714" t="s">
        <v>1631</v>
      </c>
      <c r="C195" s="3"/>
      <c r="D195" s="1714"/>
      <c r="E195" s="1714"/>
      <c r="F195" s="1714" t="s">
        <v>1635</v>
      </c>
      <c r="G195" s="1714" t="s">
        <v>1636</v>
      </c>
      <c r="H195" s="1714" t="s">
        <v>1637</v>
      </c>
      <c r="I195" s="1714" t="s">
        <v>1638</v>
      </c>
      <c r="J195" s="1714" t="s">
        <v>1639</v>
      </c>
      <c r="K195" s="1714" t="s">
        <v>1640</v>
      </c>
      <c r="L195" s="1714" t="s">
        <v>1641</v>
      </c>
      <c r="M195" s="1714" t="s">
        <v>1642</v>
      </c>
      <c r="N195" s="1714" t="s">
        <v>1643</v>
      </c>
      <c r="O195" s="1714" t="s">
        <v>1644</v>
      </c>
      <c r="P195" s="1714" t="s">
        <v>1645</v>
      </c>
      <c r="Q195" s="1714" t="s">
        <v>1646</v>
      </c>
      <c r="R195" s="1714" t="s">
        <v>1647</v>
      </c>
      <c r="S195" s="1714" t="s">
        <v>1648</v>
      </c>
      <c r="T195" s="1714" t="s">
        <v>1649</v>
      </c>
      <c r="U195" s="1714" t="s">
        <v>1650</v>
      </c>
      <c r="V195" s="1714" t="s">
        <v>1651</v>
      </c>
      <c r="W195" s="1714" t="s">
        <v>1652</v>
      </c>
      <c r="X195" s="1714" t="s">
        <v>1653</v>
      </c>
      <c r="Y195" s="1714" t="s">
        <v>1654</v>
      </c>
      <c r="Z195" s="1714" t="s">
        <v>1655</v>
      </c>
      <c r="AA195" s="1714" t="s">
        <v>1656</v>
      </c>
      <c r="AB195" s="1714" t="s">
        <v>1657</v>
      </c>
      <c r="AC195" s="1714" t="s">
        <v>1658</v>
      </c>
      <c r="AD195" s="1714" t="s">
        <v>1659</v>
      </c>
      <c r="AE195" s="1714" t="s">
        <v>1660</v>
      </c>
      <c r="AF195" s="1714" t="s">
        <v>1661</v>
      </c>
      <c r="AG195" s="1714" t="s">
        <v>1662</v>
      </c>
      <c r="AH195" s="1714" t="s">
        <v>1663</v>
      </c>
      <c r="AI195" s="1714" t="s">
        <v>1664</v>
      </c>
      <c r="AJ195" s="1714" t="s">
        <v>1665</v>
      </c>
      <c r="AK195" s="1714" t="s">
        <v>1666</v>
      </c>
      <c r="AL195" s="1714" t="s">
        <v>1667</v>
      </c>
      <c r="AM195" s="1714"/>
    </row>
    <row r="196" spans="1:39" ht="15.75" customHeight="1" x14ac:dyDescent="0.25">
      <c r="A196" s="3"/>
      <c r="B196" s="3" t="s">
        <v>1668</v>
      </c>
      <c r="C196" s="3"/>
      <c r="D196" s="3"/>
      <c r="E196" s="3"/>
      <c r="F196" s="1726">
        <f t="shared" ref="F196:AL201" si="35">SUMIF($B$106:$B$139,$B196,F$106:F$139)</f>
        <v>0</v>
      </c>
      <c r="G196" s="1726">
        <f t="shared" si="35"/>
        <v>0</v>
      </c>
      <c r="H196" s="1726">
        <f t="shared" si="35"/>
        <v>0</v>
      </c>
      <c r="I196" s="1726">
        <f t="shared" si="35"/>
        <v>0</v>
      </c>
      <c r="J196" s="1726">
        <f t="shared" si="35"/>
        <v>8.041536009609893E-5</v>
      </c>
      <c r="K196" s="1726">
        <f t="shared" si="35"/>
        <v>6.8721211440538868E-4</v>
      </c>
      <c r="L196" s="1726">
        <f t="shared" si="35"/>
        <v>1.688946003420019E-3</v>
      </c>
      <c r="M196" s="1726">
        <f t="shared" si="35"/>
        <v>3.4060252039047586E-3</v>
      </c>
      <c r="N196" s="1726">
        <f t="shared" si="35"/>
        <v>5.7343496473683279E-3</v>
      </c>
      <c r="O196" s="1726">
        <f t="shared" si="35"/>
        <v>8.9714074461216611E-3</v>
      </c>
      <c r="P196" s="1726">
        <f t="shared" si="35"/>
        <v>1.2158975390291064E-2</v>
      </c>
      <c r="Q196" s="1726">
        <f t="shared" si="35"/>
        <v>1.531218016218865E-2</v>
      </c>
      <c r="R196" s="1726">
        <f t="shared" si="35"/>
        <v>1.8414137991853308E-2</v>
      </c>
      <c r="S196" s="1726">
        <f t="shared" si="35"/>
        <v>2.0823004310631631E-2</v>
      </c>
      <c r="T196" s="1726">
        <f t="shared" si="35"/>
        <v>2.3020205269869202E-2</v>
      </c>
      <c r="U196" s="1726">
        <f t="shared" si="35"/>
        <v>2.4982940585599439E-2</v>
      </c>
      <c r="V196" s="1726">
        <f t="shared" si="35"/>
        <v>2.6877862105110815E-2</v>
      </c>
      <c r="W196" s="1726">
        <f t="shared" si="35"/>
        <v>2.8700247145594205E-2</v>
      </c>
      <c r="X196" s="1726">
        <f t="shared" si="35"/>
        <v>3.0501856586754684E-2</v>
      </c>
      <c r="Y196" s="1726">
        <f t="shared" si="35"/>
        <v>3.1660171427254982E-2</v>
      </c>
      <c r="Z196" s="1726">
        <f t="shared" si="35"/>
        <v>3.3406836229695133E-2</v>
      </c>
      <c r="AA196" s="1726">
        <f t="shared" si="35"/>
        <v>3.5490100267624815E-2</v>
      </c>
      <c r="AB196" s="1726">
        <f t="shared" si="35"/>
        <v>3.7694032415878785E-2</v>
      </c>
      <c r="AC196" s="1726">
        <f t="shared" si="35"/>
        <v>3.965857489831854E-2</v>
      </c>
      <c r="AD196" s="1726">
        <f t="shared" si="35"/>
        <v>4.2333416046542609E-2</v>
      </c>
      <c r="AE196" s="1726">
        <f t="shared" si="35"/>
        <v>4.3544469042782141E-2</v>
      </c>
      <c r="AF196" s="1726">
        <f t="shared" si="35"/>
        <v>4.5894465371586472E-2</v>
      </c>
      <c r="AG196" s="1726">
        <f t="shared" si="35"/>
        <v>4.6409962659313526E-2</v>
      </c>
      <c r="AH196" s="1726">
        <f t="shared" si="35"/>
        <v>4.8747555297435248E-2</v>
      </c>
      <c r="AI196" s="1726">
        <f t="shared" si="35"/>
        <v>4.9513100663234957E-2</v>
      </c>
      <c r="AJ196" s="1726">
        <f t="shared" si="35"/>
        <v>5.1798961188409487E-2</v>
      </c>
      <c r="AK196" s="1726">
        <f t="shared" si="35"/>
        <v>5.2915918406908471E-2</v>
      </c>
      <c r="AL196" s="1726">
        <f t="shared" si="35"/>
        <v>5.3868659146652662E-2</v>
      </c>
      <c r="AM196" s="1726"/>
    </row>
    <row r="197" spans="1:39" ht="15.75" customHeight="1" x14ac:dyDescent="0.25">
      <c r="A197" s="3"/>
      <c r="B197" s="3" t="s">
        <v>1670</v>
      </c>
      <c r="C197" s="3"/>
      <c r="D197" s="3"/>
      <c r="E197" s="3"/>
      <c r="F197" s="1726">
        <f t="shared" si="35"/>
        <v>1.3722643036573532E-4</v>
      </c>
      <c r="G197" s="1726">
        <f t="shared" si="35"/>
        <v>2.1694921750816109E-4</v>
      </c>
      <c r="H197" s="1726">
        <f t="shared" si="35"/>
        <v>3.0353931087764743E-4</v>
      </c>
      <c r="I197" s="1726">
        <f t="shared" si="35"/>
        <v>3.9725072697652567E-4</v>
      </c>
      <c r="J197" s="1726">
        <f t="shared" si="35"/>
        <v>4.2796858492208021E-4</v>
      </c>
      <c r="K197" s="1726">
        <f t="shared" si="35"/>
        <v>7.8011810663850207E-4</v>
      </c>
      <c r="L197" s="1726">
        <f t="shared" si="35"/>
        <v>1.8040760322062615E-3</v>
      </c>
      <c r="M197" s="1726">
        <f t="shared" si="35"/>
        <v>2.8813867998296241E-3</v>
      </c>
      <c r="N197" s="1726">
        <f t="shared" si="35"/>
        <v>4.0226528556836462E-3</v>
      </c>
      <c r="O197" s="1726">
        <f t="shared" si="35"/>
        <v>5.2161587253756409E-3</v>
      </c>
      <c r="P197" s="1726">
        <f t="shared" si="35"/>
        <v>5.6091488392320827E-3</v>
      </c>
      <c r="Q197" s="1726">
        <f t="shared" si="35"/>
        <v>6.7087166989186391E-3</v>
      </c>
      <c r="R197" s="1726">
        <f t="shared" si="35"/>
        <v>2.9599344862798797E-2</v>
      </c>
      <c r="S197" s="1726">
        <f t="shared" si="35"/>
        <v>5.6487493647624197E-2</v>
      </c>
      <c r="T197" s="1726">
        <f t="shared" si="35"/>
        <v>6.3398872372006185E-2</v>
      </c>
      <c r="U197" s="1726">
        <f t="shared" si="35"/>
        <v>7.0452117545713011E-2</v>
      </c>
      <c r="V197" s="1726">
        <f t="shared" si="35"/>
        <v>7.7631078737293899E-2</v>
      </c>
      <c r="W197" s="1726">
        <f t="shared" si="35"/>
        <v>8.4921204185991417E-2</v>
      </c>
      <c r="X197" s="1726">
        <f t="shared" si="35"/>
        <v>9.2031929563550885E-2</v>
      </c>
      <c r="Y197" s="1726">
        <f t="shared" si="35"/>
        <v>0.12209507663325639</v>
      </c>
      <c r="Z197" s="1726">
        <f t="shared" si="35"/>
        <v>0.14558468936665919</v>
      </c>
      <c r="AA197" s="1726">
        <f t="shared" si="35"/>
        <v>0.15838189655601276</v>
      </c>
      <c r="AB197" s="1726">
        <f t="shared" si="35"/>
        <v>0.17118152610717319</v>
      </c>
      <c r="AC197" s="1726">
        <f t="shared" si="35"/>
        <v>0.20969284460378651</v>
      </c>
      <c r="AD197" s="1726">
        <f t="shared" si="35"/>
        <v>0.2430929165418349</v>
      </c>
      <c r="AE197" s="1726">
        <f t="shared" si="35"/>
        <v>0.26374413744021208</v>
      </c>
      <c r="AF197" s="1726">
        <f t="shared" si="35"/>
        <v>0.27263833179349872</v>
      </c>
      <c r="AG197" s="1726">
        <f t="shared" si="35"/>
        <v>0.26983518752509272</v>
      </c>
      <c r="AH197" s="1726">
        <f t="shared" si="35"/>
        <v>0.2896393642396895</v>
      </c>
      <c r="AI197" s="1726">
        <f t="shared" si="35"/>
        <v>0.28453723137964049</v>
      </c>
      <c r="AJ197" s="1726">
        <f t="shared" si="35"/>
        <v>0.29299222412987153</v>
      </c>
      <c r="AK197" s="1726">
        <f t="shared" si="35"/>
        <v>0.22648947928192831</v>
      </c>
      <c r="AL197" s="1726">
        <f t="shared" si="35"/>
        <v>0.24466812033407259</v>
      </c>
      <c r="AM197" s="1726"/>
    </row>
    <row r="198" spans="1:39" ht="15.75" customHeight="1" x14ac:dyDescent="0.25">
      <c r="A198" s="3"/>
      <c r="B198" s="3" t="s">
        <v>1675</v>
      </c>
      <c r="C198" s="3"/>
      <c r="D198" s="3"/>
      <c r="E198" s="3"/>
      <c r="F198" s="1726">
        <f t="shared" si="35"/>
        <v>0</v>
      </c>
      <c r="G198" s="1726">
        <f t="shared" si="35"/>
        <v>0</v>
      </c>
      <c r="H198" s="1726">
        <f t="shared" si="35"/>
        <v>0</v>
      </c>
      <c r="I198" s="1726">
        <f t="shared" si="35"/>
        <v>0</v>
      </c>
      <c r="J198" s="1726">
        <f t="shared" si="35"/>
        <v>0</v>
      </c>
      <c r="K198" s="1726">
        <f t="shared" si="35"/>
        <v>0</v>
      </c>
      <c r="L198" s="1726">
        <f t="shared" si="35"/>
        <v>0</v>
      </c>
      <c r="M198" s="1726">
        <f t="shared" si="35"/>
        <v>3.7939036037830295E-4</v>
      </c>
      <c r="N198" s="1726">
        <f t="shared" si="35"/>
        <v>7.6818525378716414E-4</v>
      </c>
      <c r="O198" s="1726">
        <f t="shared" si="35"/>
        <v>1.1657179727994503E-3</v>
      </c>
      <c r="P198" s="1726">
        <f t="shared" si="35"/>
        <v>1.6142289629450435E-3</v>
      </c>
      <c r="Q198" s="1726">
        <f t="shared" si="35"/>
        <v>3.6916787697975021E-3</v>
      </c>
      <c r="R198" s="1726">
        <f t="shared" si="35"/>
        <v>5.8348546621775797E-3</v>
      </c>
      <c r="S198" s="1726">
        <f t="shared" si="35"/>
        <v>8.03130355318501E-3</v>
      </c>
      <c r="T198" s="1726">
        <f t="shared" si="35"/>
        <v>1.0296011981757487E-2</v>
      </c>
      <c r="U198" s="1726">
        <f t="shared" si="35"/>
        <v>1.2626404141386645E-2</v>
      </c>
      <c r="V198" s="1726">
        <f t="shared" si="35"/>
        <v>1.4994885263995329E-2</v>
      </c>
      <c r="W198" s="1726">
        <f t="shared" si="35"/>
        <v>1.8594943580956005E-2</v>
      </c>
      <c r="X198" s="1726">
        <f t="shared" si="35"/>
        <v>2.1798141380634777E-2</v>
      </c>
      <c r="Y198" s="1726">
        <f t="shared" si="35"/>
        <v>2.4704011645659288E-2</v>
      </c>
      <c r="Z198" s="1726">
        <f t="shared" si="35"/>
        <v>2.5009924425272202E-2</v>
      </c>
      <c r="AA198" s="1726">
        <f t="shared" si="35"/>
        <v>2.8103440741658561E-2</v>
      </c>
      <c r="AB198" s="1726">
        <f t="shared" si="35"/>
        <v>2.8064796336974854E-2</v>
      </c>
      <c r="AC198" s="1726">
        <f t="shared" si="35"/>
        <v>3.291622731568232E-2</v>
      </c>
      <c r="AD198" s="1726">
        <f t="shared" si="35"/>
        <v>3.3998418909244155E-2</v>
      </c>
      <c r="AE198" s="1726">
        <f t="shared" si="35"/>
        <v>2.9555532205721966E-2</v>
      </c>
      <c r="AF198" s="1726">
        <f t="shared" si="35"/>
        <v>3.4958770262506877E-2</v>
      </c>
      <c r="AG198" s="1726">
        <f t="shared" si="35"/>
        <v>3.8176579780623526E-2</v>
      </c>
      <c r="AH198" s="1726">
        <f t="shared" si="35"/>
        <v>4.7464848724005429E-2</v>
      </c>
      <c r="AI198" s="1726">
        <f t="shared" si="35"/>
        <v>4.7109212911977734E-2</v>
      </c>
      <c r="AJ198" s="1726">
        <f t="shared" si="35"/>
        <v>5.1823271361579541E-2</v>
      </c>
      <c r="AK198" s="1726">
        <f t="shared" si="35"/>
        <v>5.2603757388206496E-2</v>
      </c>
      <c r="AL198" s="1726">
        <f t="shared" si="35"/>
        <v>3.1978508940297724E-2</v>
      </c>
      <c r="AM198" s="1726"/>
    </row>
    <row r="199" spans="1:39" ht="15.75" customHeight="1" x14ac:dyDescent="0.25">
      <c r="A199" s="3"/>
      <c r="B199" s="3" t="s">
        <v>1676</v>
      </c>
      <c r="C199" s="3"/>
      <c r="D199" s="3"/>
      <c r="E199" s="3"/>
      <c r="F199" s="1726">
        <f t="shared" si="35"/>
        <v>4.7932913787858741E-3</v>
      </c>
      <c r="G199" s="1726">
        <f t="shared" si="35"/>
        <v>1.0507517401233844E-2</v>
      </c>
      <c r="H199" s="1726">
        <f t="shared" si="35"/>
        <v>1.04822675048025E-2</v>
      </c>
      <c r="I199" s="1726">
        <f t="shared" si="35"/>
        <v>1.0447719122476235E-2</v>
      </c>
      <c r="J199" s="1726">
        <f t="shared" si="35"/>
        <v>2.549206860957904E-2</v>
      </c>
      <c r="K199" s="1726">
        <f t="shared" si="35"/>
        <v>0.16687855123325718</v>
      </c>
      <c r="L199" s="1726">
        <f t="shared" si="35"/>
        <v>0.19240033618205754</v>
      </c>
      <c r="M199" s="1726">
        <f t="shared" si="35"/>
        <v>0.21451840218562684</v>
      </c>
      <c r="N199" s="1726">
        <f t="shared" si="35"/>
        <v>0.22606549534672449</v>
      </c>
      <c r="O199" s="1726">
        <f t="shared" si="35"/>
        <v>0.2329816317682733</v>
      </c>
      <c r="P199" s="1726">
        <f t="shared" si="35"/>
        <v>0.23647867714019255</v>
      </c>
      <c r="Q199" s="1726">
        <f t="shared" si="35"/>
        <v>0.22937599191034919</v>
      </c>
      <c r="R199" s="1726">
        <f t="shared" si="35"/>
        <v>0.2206502907175944</v>
      </c>
      <c r="S199" s="1726">
        <f t="shared" si="35"/>
        <v>0.21161585932235283</v>
      </c>
      <c r="T199" s="1726">
        <f t="shared" si="35"/>
        <v>0.20084912890974974</v>
      </c>
      <c r="U199" s="1726">
        <f t="shared" si="35"/>
        <v>0.18984323571891032</v>
      </c>
      <c r="V199" s="1726">
        <f t="shared" si="35"/>
        <v>0.20215658561011016</v>
      </c>
      <c r="W199" s="1726">
        <f t="shared" si="35"/>
        <v>0.21590195043268443</v>
      </c>
      <c r="X199" s="1726">
        <f t="shared" si="35"/>
        <v>0.22795655117344543</v>
      </c>
      <c r="Y199" s="1726">
        <f t="shared" si="35"/>
        <v>0.25135087203872236</v>
      </c>
      <c r="Z199" s="1726">
        <f t="shared" si="35"/>
        <v>0.25094195511468492</v>
      </c>
      <c r="AA199" s="1726">
        <f t="shared" si="35"/>
        <v>0.26830525833621999</v>
      </c>
      <c r="AB199" s="1726">
        <f t="shared" si="35"/>
        <v>0.28436798808598207</v>
      </c>
      <c r="AC199" s="1726">
        <f t="shared" si="35"/>
        <v>0.35876233930785695</v>
      </c>
      <c r="AD199" s="1726">
        <f t="shared" si="35"/>
        <v>0.4156129437258862</v>
      </c>
      <c r="AE199" s="1726">
        <f t="shared" si="35"/>
        <v>0.41100189620048766</v>
      </c>
      <c r="AF199" s="1726">
        <f t="shared" si="35"/>
        <v>0.3607481220033173</v>
      </c>
      <c r="AG199" s="1726">
        <f t="shared" si="35"/>
        <v>0.30227159820292487</v>
      </c>
      <c r="AH199" s="1726">
        <f t="shared" si="35"/>
        <v>0.29648324875590204</v>
      </c>
      <c r="AI199" s="1726">
        <f t="shared" si="35"/>
        <v>0.29611404053570656</v>
      </c>
      <c r="AJ199" s="1726">
        <f t="shared" si="35"/>
        <v>0.32784346905913264</v>
      </c>
      <c r="AK199" s="1726">
        <f t="shared" si="35"/>
        <v>0.3348863340564267</v>
      </c>
      <c r="AL199" s="1726">
        <f t="shared" si="35"/>
        <v>0.34139721980080673</v>
      </c>
      <c r="AM199" s="1726"/>
    </row>
    <row r="200" spans="1:39" ht="15.75" customHeight="1" x14ac:dyDescent="0.25">
      <c r="A200" s="3"/>
      <c r="B200" s="3" t="s">
        <v>1671</v>
      </c>
      <c r="C200" s="3"/>
      <c r="D200" s="3"/>
      <c r="E200" s="3"/>
      <c r="F200" s="1726">
        <f t="shared" si="35"/>
        <v>3.25856290887356E-4</v>
      </c>
      <c r="G200" s="1726">
        <f t="shared" si="35"/>
        <v>3.4409102755559266E-4</v>
      </c>
      <c r="H200" s="1726">
        <f t="shared" si="35"/>
        <v>2.0730312707477504E-2</v>
      </c>
      <c r="I200" s="1726">
        <f t="shared" si="35"/>
        <v>9.3562355982956508E-2</v>
      </c>
      <c r="J200" s="1726">
        <f t="shared" si="35"/>
        <v>0.22866200470715806</v>
      </c>
      <c r="K200" s="1726">
        <f t="shared" si="35"/>
        <v>0.36930867491034097</v>
      </c>
      <c r="L200" s="1726">
        <f t="shared" si="35"/>
        <v>0.54146728450490167</v>
      </c>
      <c r="M200" s="1726">
        <f t="shared" si="35"/>
        <v>0.72677927735838188</v>
      </c>
      <c r="N200" s="1726">
        <f t="shared" si="35"/>
        <v>0.86627904196468997</v>
      </c>
      <c r="O200" s="1726">
        <f t="shared" si="35"/>
        <v>1.0157334897431303</v>
      </c>
      <c r="P200" s="1726">
        <f t="shared" si="35"/>
        <v>1.1527393432464652</v>
      </c>
      <c r="Q200" s="1726">
        <f t="shared" si="35"/>
        <v>1.2979868198043678</v>
      </c>
      <c r="R200" s="1726">
        <f t="shared" si="35"/>
        <v>1.3915934794156202</v>
      </c>
      <c r="S200" s="1726">
        <f t="shared" si="35"/>
        <v>1.4740332608979043</v>
      </c>
      <c r="T200" s="1726">
        <f t="shared" si="35"/>
        <v>1.5596045318274365</v>
      </c>
      <c r="U200" s="1726">
        <f t="shared" si="35"/>
        <v>1.6617594474293085</v>
      </c>
      <c r="V200" s="1726">
        <f t="shared" si="35"/>
        <v>1.7743101574387927</v>
      </c>
      <c r="W200" s="1726">
        <f t="shared" si="35"/>
        <v>1.8990871867405139</v>
      </c>
      <c r="X200" s="1726">
        <f t="shared" si="35"/>
        <v>2.0412769713945651</v>
      </c>
      <c r="Y200" s="1726">
        <f t="shared" si="35"/>
        <v>2.0555565947495671</v>
      </c>
      <c r="Z200" s="1726">
        <f t="shared" si="35"/>
        <v>1.9088086323183184</v>
      </c>
      <c r="AA200" s="1726">
        <f t="shared" si="35"/>
        <v>2.027064277359488</v>
      </c>
      <c r="AB200" s="1726">
        <f t="shared" si="35"/>
        <v>2.1586062387404858</v>
      </c>
      <c r="AC200" s="1726">
        <f t="shared" si="35"/>
        <v>2.4790721632667898</v>
      </c>
      <c r="AD200" s="1726">
        <f t="shared" si="35"/>
        <v>2.8592781988894451</v>
      </c>
      <c r="AE200" s="1726">
        <f t="shared" si="35"/>
        <v>2.7432579000069759</v>
      </c>
      <c r="AF200" s="1726">
        <f t="shared" si="35"/>
        <v>2.8136879626132751</v>
      </c>
      <c r="AG200" s="1726">
        <f t="shared" si="35"/>
        <v>2.3411929418324053</v>
      </c>
      <c r="AH200" s="1726">
        <f t="shared" si="35"/>
        <v>2.7255669521833839</v>
      </c>
      <c r="AI200" s="1726">
        <f t="shared" si="35"/>
        <v>2.5590146565173648</v>
      </c>
      <c r="AJ200" s="1726">
        <f t="shared" si="35"/>
        <v>2.9254401780187158</v>
      </c>
      <c r="AK200" s="1726">
        <f t="shared" si="35"/>
        <v>3.1211817621080615</v>
      </c>
      <c r="AL200" s="1726">
        <f t="shared" si="35"/>
        <v>3.2307815608647212</v>
      </c>
      <c r="AM200" s="1726"/>
    </row>
    <row r="201" spans="1:39" ht="15.75" customHeight="1" x14ac:dyDescent="0.25">
      <c r="A201" s="3"/>
      <c r="B201" s="3" t="s">
        <v>1682</v>
      </c>
      <c r="C201" s="3"/>
      <c r="D201" s="3"/>
      <c r="E201" s="3"/>
      <c r="F201" s="1726">
        <f t="shared" si="35"/>
        <v>0</v>
      </c>
      <c r="G201" s="1726">
        <f t="shared" si="35"/>
        <v>0</v>
      </c>
      <c r="H201" s="1726">
        <f t="shared" si="35"/>
        <v>0</v>
      </c>
      <c r="I201" s="1726">
        <f t="shared" si="35"/>
        <v>0</v>
      </c>
      <c r="J201" s="1726">
        <f t="shared" si="35"/>
        <v>0</v>
      </c>
      <c r="K201" s="1726">
        <f t="shared" si="35"/>
        <v>2.8116649602632843E-2</v>
      </c>
      <c r="L201" s="1726">
        <f t="shared" si="35"/>
        <v>6.2816343872012043E-2</v>
      </c>
      <c r="M201" s="1726">
        <f t="shared" si="35"/>
        <v>6.9620313567138076E-2</v>
      </c>
      <c r="N201" s="1726">
        <f t="shared" si="35"/>
        <v>7.0830460770363951E-2</v>
      </c>
      <c r="O201" s="1726">
        <f t="shared" si="35"/>
        <v>7.211132976739576E-2</v>
      </c>
      <c r="P201" s="1726">
        <f t="shared" si="35"/>
        <v>6.3297960870175599E-2</v>
      </c>
      <c r="Q201" s="1726">
        <f t="shared" si="35"/>
        <v>5.4249091285581488E-2</v>
      </c>
      <c r="R201" s="1726">
        <f t="shared" si="35"/>
        <v>4.4806655776993345E-2</v>
      </c>
      <c r="S201" s="1726">
        <f t="shared" si="35"/>
        <v>3.4852725796843939E-2</v>
      </c>
      <c r="T201" s="1726">
        <f t="shared" si="35"/>
        <v>3.5553144697873934E-2</v>
      </c>
      <c r="U201" s="1726">
        <f t="shared" si="35"/>
        <v>3.5220594540665708E-2</v>
      </c>
      <c r="V201" s="1726">
        <f t="shared" si="35"/>
        <v>3.4780261782482058E-2</v>
      </c>
      <c r="W201" s="1726">
        <f t="shared" si="35"/>
        <v>3.4270018946758921E-2</v>
      </c>
      <c r="X201" s="1726">
        <f t="shared" si="35"/>
        <v>3.3768027386714611E-2</v>
      </c>
      <c r="Y201" s="1726">
        <f t="shared" si="35"/>
        <v>3.334236702262814E-2</v>
      </c>
      <c r="Z201" s="1726">
        <f t="shared" si="35"/>
        <v>3.4078139361759671E-2</v>
      </c>
      <c r="AA201" s="1726">
        <f t="shared" si="35"/>
        <v>3.4822707394172821E-2</v>
      </c>
      <c r="AB201" s="1726">
        <f t="shared" si="35"/>
        <v>3.555866646152727E-2</v>
      </c>
      <c r="AC201" s="1726">
        <f t="shared" si="35"/>
        <v>3.6252561779735001E-2</v>
      </c>
      <c r="AD201" s="1726">
        <f t="shared" si="35"/>
        <v>3.693340986416873E-2</v>
      </c>
      <c r="AE201" s="1726">
        <f t="shared" si="35"/>
        <v>3.7584727472006446E-2</v>
      </c>
      <c r="AF201" s="1726">
        <f t="shared" si="35"/>
        <v>3.818836935169434E-2</v>
      </c>
      <c r="AG201" s="1726">
        <f t="shared" si="35"/>
        <v>3.8855607694375148E-2</v>
      </c>
      <c r="AH201" s="1726">
        <f t="shared" si="35"/>
        <v>3.9534062330073408E-2</v>
      </c>
      <c r="AI201" s="1726">
        <f t="shared" si="35"/>
        <v>4.0228918382978436E-2</v>
      </c>
      <c r="AJ201" s="1726">
        <f t="shared" si="35"/>
        <v>4.1426934504528709E-2</v>
      </c>
      <c r="AK201" s="1726">
        <f t="shared" si="35"/>
        <v>4.2202265468569568E-2</v>
      </c>
      <c r="AL201" s="1726">
        <f t="shared" si="35"/>
        <v>4.2821987365809965E-2</v>
      </c>
      <c r="AM201" s="1726"/>
    </row>
    <row r="202" spans="1:39" ht="15.75" customHeight="1" x14ac:dyDescent="0.25">
      <c r="A202" s="3"/>
      <c r="B202" s="3"/>
      <c r="C202" s="3"/>
      <c r="D202" s="3"/>
      <c r="E202" s="3"/>
      <c r="F202" s="1726"/>
      <c r="G202" s="1726"/>
      <c r="H202" s="1726"/>
      <c r="I202" s="1726"/>
      <c r="J202" s="1726"/>
      <c r="K202" s="1726"/>
      <c r="L202" s="1726"/>
      <c r="M202" s="1726"/>
      <c r="N202" s="1726"/>
      <c r="O202" s="1726"/>
      <c r="P202" s="1726"/>
      <c r="Q202" s="1726"/>
      <c r="R202" s="1726"/>
      <c r="S202" s="1726"/>
      <c r="T202" s="1726"/>
      <c r="U202" s="1726"/>
      <c r="V202" s="1726"/>
      <c r="W202" s="1726"/>
      <c r="X202" s="1726"/>
      <c r="Y202" s="1726"/>
      <c r="Z202" s="1726"/>
      <c r="AA202" s="1726"/>
      <c r="AB202" s="1726"/>
      <c r="AC202" s="1726"/>
      <c r="AD202" s="1726"/>
      <c r="AE202" s="1726"/>
      <c r="AF202" s="1726"/>
      <c r="AG202" s="1726"/>
      <c r="AH202" s="1726"/>
      <c r="AI202" s="1726"/>
      <c r="AJ202" s="1726"/>
      <c r="AK202" s="1726"/>
      <c r="AL202" s="1726"/>
      <c r="AM202" s="1726"/>
    </row>
    <row r="203" spans="1:39" ht="15.75" customHeight="1" x14ac:dyDescent="0.25">
      <c r="A203" s="3"/>
      <c r="B203" s="3" t="s">
        <v>1739</v>
      </c>
      <c r="C203" s="3"/>
      <c r="D203" s="3"/>
      <c r="E203" s="3"/>
      <c r="F203" s="1726">
        <f t="shared" ref="F203:AL203" si="36">SUM(F196:F201)</f>
        <v>5.2563741000389652E-3</v>
      </c>
      <c r="G203" s="1726">
        <f t="shared" si="36"/>
        <v>1.1068557646297598E-2</v>
      </c>
      <c r="H203" s="1726">
        <f t="shared" si="36"/>
        <v>3.1516119523157651E-2</v>
      </c>
      <c r="I203" s="1726">
        <f t="shared" si="36"/>
        <v>0.10440732583240928</v>
      </c>
      <c r="J203" s="1726">
        <f t="shared" si="36"/>
        <v>0.25466245726175529</v>
      </c>
      <c r="K203" s="1726">
        <f t="shared" si="36"/>
        <v>0.56577120596727482</v>
      </c>
      <c r="L203" s="1726">
        <f t="shared" si="36"/>
        <v>0.80017698659459757</v>
      </c>
      <c r="M203" s="1726">
        <f t="shared" si="36"/>
        <v>1.0175847954752595</v>
      </c>
      <c r="N203" s="1726">
        <f t="shared" si="36"/>
        <v>1.1737001858386176</v>
      </c>
      <c r="O203" s="1726">
        <f t="shared" si="36"/>
        <v>1.3361797354230962</v>
      </c>
      <c r="P203" s="1726">
        <f t="shared" si="36"/>
        <v>1.4718983344493015</v>
      </c>
      <c r="Q203" s="1726">
        <f t="shared" si="36"/>
        <v>1.6073244786312033</v>
      </c>
      <c r="R203" s="1726">
        <f t="shared" si="36"/>
        <v>1.7108987634270376</v>
      </c>
      <c r="S203" s="1726">
        <f t="shared" si="36"/>
        <v>1.8058436475285418</v>
      </c>
      <c r="T203" s="1726">
        <f t="shared" si="36"/>
        <v>1.892721895058693</v>
      </c>
      <c r="U203" s="1726">
        <f t="shared" si="36"/>
        <v>1.9948847399615834</v>
      </c>
      <c r="V203" s="1726">
        <f t="shared" si="36"/>
        <v>2.1307508309377847</v>
      </c>
      <c r="W203" s="1726">
        <f t="shared" si="36"/>
        <v>2.2814755510324991</v>
      </c>
      <c r="X203" s="1726">
        <f t="shared" si="36"/>
        <v>2.4473334774856652</v>
      </c>
      <c r="Y203" s="1726">
        <f t="shared" si="36"/>
        <v>2.5187090935170882</v>
      </c>
      <c r="Z203" s="1726">
        <f t="shared" si="36"/>
        <v>2.3978301768163894</v>
      </c>
      <c r="AA203" s="1726">
        <f t="shared" si="36"/>
        <v>2.552167680655177</v>
      </c>
      <c r="AB203" s="1726">
        <f t="shared" si="36"/>
        <v>2.7154732481480219</v>
      </c>
      <c r="AC203" s="1726">
        <f t="shared" si="36"/>
        <v>3.156354711172169</v>
      </c>
      <c r="AD203" s="1726">
        <f t="shared" si="36"/>
        <v>3.6312493039771216</v>
      </c>
      <c r="AE203" s="1726">
        <f t="shared" si="36"/>
        <v>3.5286886623681863</v>
      </c>
      <c r="AF203" s="1726">
        <f t="shared" si="36"/>
        <v>3.5661160213958789</v>
      </c>
      <c r="AG203" s="1726">
        <f t="shared" si="36"/>
        <v>3.0367418776947352</v>
      </c>
      <c r="AH203" s="1726">
        <f t="shared" si="36"/>
        <v>3.4474360315304891</v>
      </c>
      <c r="AI203" s="1726">
        <f t="shared" si="36"/>
        <v>3.2765171603909029</v>
      </c>
      <c r="AJ203" s="1726">
        <f t="shared" si="36"/>
        <v>3.6913250382622378</v>
      </c>
      <c r="AK203" s="1726">
        <f t="shared" si="36"/>
        <v>3.8302795167101009</v>
      </c>
      <c r="AL203" s="1726">
        <f t="shared" si="36"/>
        <v>3.945516056452361</v>
      </c>
      <c r="AM203" s="1726"/>
    </row>
    <row r="204" spans="1:39"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row>
    <row r="205" spans="1:39"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row>
    <row r="206" spans="1:39"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row>
    <row r="207" spans="1:39"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row>
    <row r="208" spans="1:39"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row>
    <row r="209" spans="1:39"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row>
    <row r="210" spans="1:39"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row>
    <row r="211" spans="1:39"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row>
    <row r="212" spans="1:39"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row>
    <row r="213" spans="1:39"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row>
    <row r="214" spans="1:39"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row>
    <row r="215" spans="1:39"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row>
    <row r="216" spans="1:39"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row>
    <row r="217" spans="1:39"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row>
    <row r="218" spans="1:39"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row>
    <row r="219" spans="1:39"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row>
    <row r="220" spans="1:39"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row>
    <row r="221" spans="1:39"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row>
    <row r="222" spans="1:39"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row>
    <row r="223" spans="1:39"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row>
    <row r="224" spans="1:39"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row>
    <row r="225" spans="1:39"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row>
    <row r="226" spans="1:39"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row>
    <row r="227" spans="1:39"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row>
    <row r="228" spans="1:39"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row>
    <row r="229" spans="1:39"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row>
    <row r="230" spans="1:39"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row>
    <row r="231" spans="1:39"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row>
    <row r="232" spans="1:39"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row>
    <row r="233" spans="1:39"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row>
    <row r="234" spans="1:39"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row>
    <row r="235" spans="1:39"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row>
    <row r="236" spans="1:39"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row>
    <row r="237" spans="1:39"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row>
    <row r="238" spans="1:39"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row>
    <row r="239" spans="1:39"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row>
    <row r="240" spans="1:39"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row>
    <row r="241" spans="1:39"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row>
    <row r="242" spans="1:39"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row>
    <row r="243" spans="1:39"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row>
    <row r="244" spans="1:39"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row>
    <row r="245" spans="1:39"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row>
    <row r="246" spans="1:39"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row>
    <row r="247" spans="1:39"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row>
    <row r="248" spans="1:39"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row>
    <row r="249" spans="1:39"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row>
    <row r="250" spans="1:39"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row>
    <row r="251" spans="1:39"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row>
    <row r="252" spans="1:39"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row>
    <row r="253" spans="1:39"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row>
    <row r="254" spans="1:39"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row>
    <row r="255" spans="1:39"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row>
    <row r="256" spans="1:39"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row>
    <row r="257" spans="1:39"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row>
    <row r="258" spans="1:39"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row>
    <row r="259" spans="1:39"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row>
    <row r="260" spans="1:39"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row>
    <row r="261" spans="1:39"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row>
    <row r="262" spans="1:39"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row>
    <row r="263" spans="1:39"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row>
    <row r="264" spans="1:39"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row>
    <row r="265" spans="1:39"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row>
    <row r="266" spans="1:39"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row>
    <row r="267" spans="1:39"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row>
    <row r="268" spans="1:39"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row>
    <row r="269" spans="1:39"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row>
    <row r="270" spans="1:39"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row>
    <row r="271" spans="1:39"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row>
    <row r="272" spans="1:39"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row>
    <row r="273" spans="1:39"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row>
    <row r="274" spans="1:39"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row>
    <row r="275" spans="1:39"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row>
    <row r="276" spans="1:39"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row>
    <row r="277" spans="1:39"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row>
    <row r="278" spans="1:39"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row>
    <row r="279" spans="1:39"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row>
    <row r="280" spans="1:39"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row>
    <row r="281" spans="1:39"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row>
    <row r="282" spans="1:39"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row>
    <row r="283" spans="1:39"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row>
    <row r="284" spans="1:39"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row>
    <row r="285" spans="1:39"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row>
    <row r="286" spans="1:39"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row>
    <row r="287" spans="1:39"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row>
    <row r="288" spans="1:39"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row>
    <row r="289" spans="1:39"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row>
    <row r="290" spans="1:39"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row>
    <row r="291" spans="1:39"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row>
    <row r="292" spans="1:39"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row>
    <row r="293" spans="1:39"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row>
    <row r="294" spans="1:39"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row>
    <row r="295" spans="1:39"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row>
    <row r="296" spans="1:39"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row>
    <row r="297" spans="1:39"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row>
    <row r="298" spans="1:39"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row>
    <row r="299" spans="1:39"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row>
    <row r="300" spans="1:39"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row>
    <row r="301" spans="1:39"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row>
    <row r="302" spans="1:39"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row>
    <row r="303" spans="1:39"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row>
    <row r="304" spans="1:39"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row>
    <row r="305" spans="1:39"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row>
    <row r="306" spans="1:39"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row>
    <row r="307" spans="1:39"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row>
    <row r="308" spans="1:39"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row>
    <row r="309" spans="1:39"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row>
    <row r="310" spans="1:39"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row>
    <row r="311" spans="1:39"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row>
    <row r="312" spans="1:39"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row>
    <row r="313" spans="1:39"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row>
    <row r="314" spans="1:39"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row>
    <row r="315" spans="1:39"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row>
    <row r="316" spans="1:39"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row>
    <row r="317" spans="1:39"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row>
    <row r="318" spans="1:39"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row>
    <row r="319" spans="1:39"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row>
    <row r="320" spans="1:39"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row>
    <row r="321" spans="1:39"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row>
    <row r="322" spans="1:39"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row>
    <row r="323" spans="1:39"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row>
    <row r="324" spans="1:39"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row>
    <row r="325" spans="1:39"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row>
    <row r="326" spans="1:39"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row>
    <row r="327" spans="1:39"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row>
    <row r="328" spans="1:39"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row>
    <row r="329" spans="1:39"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row>
    <row r="330" spans="1:39"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row>
    <row r="331" spans="1:39"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row>
    <row r="332" spans="1:39"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row>
    <row r="333" spans="1:39"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row>
    <row r="334" spans="1:39"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row>
    <row r="335" spans="1:39"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row>
    <row r="336" spans="1:39"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row>
    <row r="337" spans="1:39"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row>
    <row r="338" spans="1:39"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row>
    <row r="339" spans="1:39"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row>
    <row r="340" spans="1:39"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row>
    <row r="341" spans="1:39"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row>
    <row r="342" spans="1:39"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row>
    <row r="343" spans="1:39"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row>
    <row r="344" spans="1:39"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row>
    <row r="345" spans="1:39"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row>
    <row r="346" spans="1:39"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row>
    <row r="347" spans="1:39"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row>
    <row r="348" spans="1:39"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row>
    <row r="349" spans="1:39"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row>
    <row r="350" spans="1:39"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row>
    <row r="351" spans="1:39"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row>
    <row r="352" spans="1:39"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row>
    <row r="353" spans="1:39"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row>
    <row r="354" spans="1:39"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row>
    <row r="355" spans="1:39"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row>
    <row r="356" spans="1:39"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row>
    <row r="357" spans="1:39"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row>
    <row r="358" spans="1:39"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row>
    <row r="359" spans="1:39"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row>
    <row r="360" spans="1:39"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row>
    <row r="361" spans="1:39"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row>
    <row r="362" spans="1:39"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row>
    <row r="363" spans="1:39"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row>
    <row r="364" spans="1:39"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row>
    <row r="365" spans="1:39"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row>
    <row r="366" spans="1:39"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row>
    <row r="367" spans="1:39"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row>
    <row r="368" spans="1:39"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row>
    <row r="369" spans="1:39"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row>
    <row r="370" spans="1:39"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row>
    <row r="371" spans="1:39"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row>
    <row r="372" spans="1:39"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row>
    <row r="373" spans="1:39"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row>
    <row r="374" spans="1:39"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row>
    <row r="375" spans="1:39"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row>
    <row r="376" spans="1:39"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row>
    <row r="377" spans="1:39"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row>
    <row r="378" spans="1:39"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row>
    <row r="379" spans="1:39"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row>
    <row r="380" spans="1:39"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row>
    <row r="381" spans="1:39"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row>
    <row r="382" spans="1:39"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row>
    <row r="383" spans="1:39"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row>
    <row r="384" spans="1:39"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row>
    <row r="385" spans="1:39"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row>
    <row r="386" spans="1:39"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row>
    <row r="387" spans="1:39"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row>
    <row r="388" spans="1:39"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row>
    <row r="389" spans="1:39"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row>
    <row r="390" spans="1:39"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row>
    <row r="391" spans="1:39"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row>
    <row r="392" spans="1:39"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row>
    <row r="393" spans="1:39"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row>
    <row r="394" spans="1:39"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row>
    <row r="395" spans="1:39"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row>
    <row r="396" spans="1:39"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row>
    <row r="397" spans="1:39"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row>
    <row r="398" spans="1:39"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row>
    <row r="399" spans="1:39"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row>
    <row r="400" spans="1:39"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row>
    <row r="401" spans="1:39"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row>
    <row r="402" spans="1:39"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row>
    <row r="403" spans="1:39"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row>
    <row r="404" spans="1:39"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row>
    <row r="405" spans="1:39"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row>
    <row r="406" spans="1:39"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row>
    <row r="407" spans="1:39"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row>
    <row r="408" spans="1:39"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row>
    <row r="409" spans="1:39"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row>
    <row r="410" spans="1:39"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row>
    <row r="411" spans="1:39"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row>
    <row r="412" spans="1:39"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row>
    <row r="413" spans="1:39"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row>
    <row r="414" spans="1:39"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row>
    <row r="415" spans="1:39"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row>
    <row r="416" spans="1:39"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row>
    <row r="417" spans="1:39"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row>
    <row r="418" spans="1:39"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row>
    <row r="419" spans="1:39"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row>
    <row r="420" spans="1:39"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row>
    <row r="421" spans="1:39"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row>
    <row r="422" spans="1:39"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row>
    <row r="423" spans="1:39"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row>
    <row r="424" spans="1:39"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row>
    <row r="425" spans="1:39"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row>
    <row r="426" spans="1:39"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row>
    <row r="427" spans="1:39"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row>
    <row r="428" spans="1:39"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row>
    <row r="429" spans="1:39"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row>
    <row r="430" spans="1:39"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row>
    <row r="431" spans="1:39"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row>
    <row r="432" spans="1:39"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row>
    <row r="433" spans="1:39"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row>
    <row r="434" spans="1:39"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row>
    <row r="435" spans="1:39"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row>
    <row r="436" spans="1:39"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row>
    <row r="437" spans="1:39"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row>
    <row r="438" spans="1:39"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row>
    <row r="439" spans="1:39"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row>
    <row r="440" spans="1:39"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row>
    <row r="441" spans="1:39"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row>
    <row r="442" spans="1:39"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row>
    <row r="443" spans="1:39"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row>
    <row r="444" spans="1:39"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row>
    <row r="445" spans="1:39"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row>
    <row r="446" spans="1:39"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row>
    <row r="447" spans="1:39"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row>
    <row r="448" spans="1:39"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row>
    <row r="449" spans="1:39"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row>
    <row r="450" spans="1:39"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row>
    <row r="451" spans="1:39"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row>
    <row r="452" spans="1:39"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row>
    <row r="453" spans="1:39"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row>
    <row r="454" spans="1:39"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row>
    <row r="455" spans="1:39"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row>
    <row r="456" spans="1:39"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row>
    <row r="457" spans="1:39"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row>
    <row r="458" spans="1:39"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row>
    <row r="459" spans="1:39"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row>
    <row r="460" spans="1:39"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row>
    <row r="461" spans="1:39"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row>
    <row r="462" spans="1:39"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row>
    <row r="463" spans="1:39"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row>
    <row r="464" spans="1:39"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row>
    <row r="465" spans="1:39"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row>
    <row r="466" spans="1:39"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row>
    <row r="467" spans="1:39"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row>
    <row r="468" spans="1:39"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row>
    <row r="469" spans="1:39"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row>
    <row r="470" spans="1:39"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row>
    <row r="471" spans="1:39"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row>
    <row r="472" spans="1:39"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row>
    <row r="473" spans="1:39"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row>
    <row r="474" spans="1:39"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row>
    <row r="475" spans="1:39"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row>
    <row r="476" spans="1:39"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row>
    <row r="477" spans="1:39"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row>
    <row r="478" spans="1:39"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row>
    <row r="479" spans="1:39"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row>
    <row r="480" spans="1:39"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row>
    <row r="481" spans="1:39"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row>
    <row r="482" spans="1:39"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row>
    <row r="483" spans="1:39"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row>
    <row r="484" spans="1:39"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row>
    <row r="485" spans="1:39"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row>
    <row r="486" spans="1:39"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row>
    <row r="487" spans="1:39"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row>
    <row r="488" spans="1:39"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row>
    <row r="489" spans="1:39"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row>
    <row r="490" spans="1:39"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row>
    <row r="491" spans="1:39"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row>
    <row r="492" spans="1:39"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row>
    <row r="493" spans="1:39"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row>
    <row r="494" spans="1:39"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row>
    <row r="495" spans="1:39"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row>
    <row r="496" spans="1:39"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row>
    <row r="497" spans="1:39"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row>
    <row r="498" spans="1:39"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row>
    <row r="499" spans="1:39"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row>
    <row r="500" spans="1:39"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row>
    <row r="501" spans="1:39"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row>
    <row r="502" spans="1:39"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row>
    <row r="503" spans="1:39"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row>
    <row r="504" spans="1:39"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row>
    <row r="505" spans="1:39"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row>
    <row r="506" spans="1:39"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row>
    <row r="507" spans="1:39"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row>
    <row r="508" spans="1:39"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row>
    <row r="509" spans="1:39"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row>
    <row r="510" spans="1:39"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row>
    <row r="511" spans="1:39"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row>
    <row r="512" spans="1:39"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row>
    <row r="513" spans="1:39"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row>
    <row r="514" spans="1:39"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row>
    <row r="515" spans="1:39"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row>
    <row r="516" spans="1:39"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row>
    <row r="517" spans="1:39"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row>
    <row r="518" spans="1:39"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row>
    <row r="519" spans="1:39"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row>
    <row r="520" spans="1:39"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row>
    <row r="521" spans="1:39"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row>
    <row r="522" spans="1:39"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row>
    <row r="523" spans="1:39"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row>
    <row r="524" spans="1:39"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row>
    <row r="525" spans="1:39"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row>
    <row r="526" spans="1:39"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row>
    <row r="527" spans="1:39"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row>
    <row r="528" spans="1:39"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row>
    <row r="529" spans="1:39"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row>
    <row r="530" spans="1:39"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row>
    <row r="531" spans="1:39"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row>
    <row r="532" spans="1:39"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row>
    <row r="533" spans="1:39"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row>
    <row r="534" spans="1:39"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row>
    <row r="535" spans="1:39"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row>
    <row r="536" spans="1:39"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row>
    <row r="537" spans="1:39"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row>
    <row r="538" spans="1:39"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row>
    <row r="539" spans="1:39"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row>
    <row r="540" spans="1:39"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row>
    <row r="541" spans="1:39"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row>
    <row r="542" spans="1:39"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row>
    <row r="543" spans="1:39"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row>
    <row r="544" spans="1:39"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row>
    <row r="545" spans="1:39"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row>
    <row r="546" spans="1:39"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row>
    <row r="547" spans="1:39"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row>
    <row r="548" spans="1:39"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row>
    <row r="549" spans="1:39"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row>
    <row r="550" spans="1:39"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row>
    <row r="551" spans="1:39"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row>
    <row r="552" spans="1:39"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row>
    <row r="553" spans="1:39"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row>
    <row r="554" spans="1:39"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row>
    <row r="555" spans="1:39"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row>
    <row r="556" spans="1:39"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row>
    <row r="557" spans="1:39"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row>
    <row r="558" spans="1:39"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row>
    <row r="559" spans="1:39"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row>
    <row r="560" spans="1:39"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row>
    <row r="561" spans="1:39"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row>
    <row r="562" spans="1:39"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row>
    <row r="563" spans="1:39"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row>
    <row r="564" spans="1:39"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row>
    <row r="565" spans="1:39"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row>
    <row r="566" spans="1:39"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row>
    <row r="567" spans="1:39"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row>
    <row r="568" spans="1:39"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row>
    <row r="569" spans="1:39"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row>
    <row r="570" spans="1:39"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row>
    <row r="571" spans="1:39"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row>
    <row r="572" spans="1:39"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row>
    <row r="573" spans="1:39"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row>
    <row r="574" spans="1:39"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row>
    <row r="575" spans="1:39"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row>
    <row r="576" spans="1:39"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row>
    <row r="577" spans="1:39"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row>
    <row r="578" spans="1:39"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row>
    <row r="579" spans="1:39"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row>
    <row r="580" spans="1:39"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row>
    <row r="581" spans="1:39"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row>
    <row r="582" spans="1:39"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row>
    <row r="583" spans="1:39"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row>
    <row r="584" spans="1:39"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row>
    <row r="585" spans="1:39"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row>
    <row r="586" spans="1:39"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row>
    <row r="587" spans="1:39"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row>
    <row r="588" spans="1:39"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row>
    <row r="589" spans="1:39"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row>
    <row r="590" spans="1:39"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row>
    <row r="591" spans="1:39"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row>
    <row r="592" spans="1:39"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row>
    <row r="593" spans="1:39"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row>
    <row r="594" spans="1:39"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row>
    <row r="595" spans="1:39"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row>
    <row r="596" spans="1:39"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row>
    <row r="597" spans="1:39"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row>
    <row r="598" spans="1:39"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row>
    <row r="599" spans="1:39"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row>
    <row r="600" spans="1:39"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row>
    <row r="601" spans="1:39"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row>
    <row r="602" spans="1:39"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row>
    <row r="603" spans="1:39"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row>
    <row r="604" spans="1:39"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row>
    <row r="605" spans="1:39"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row>
    <row r="606" spans="1:39"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row>
    <row r="607" spans="1:39"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row>
    <row r="608" spans="1:39"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row>
    <row r="609" spans="1:39"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row>
    <row r="610" spans="1:39"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row>
    <row r="611" spans="1:39"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row>
    <row r="612" spans="1:39"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row>
    <row r="613" spans="1:39"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row>
    <row r="614" spans="1:39"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row>
    <row r="615" spans="1:39"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row>
    <row r="616" spans="1:39"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row>
    <row r="617" spans="1:39"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row>
    <row r="618" spans="1:39"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row>
    <row r="619" spans="1:39"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row>
    <row r="620" spans="1:39"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row>
    <row r="621" spans="1:39"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row>
    <row r="622" spans="1:39"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row>
    <row r="623" spans="1:39"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row>
    <row r="624" spans="1:39"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row>
    <row r="625" spans="1:39"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row>
    <row r="626" spans="1:39"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row>
    <row r="627" spans="1:39"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row>
    <row r="628" spans="1:39"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row>
    <row r="629" spans="1:39"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row>
    <row r="630" spans="1:39"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row>
    <row r="631" spans="1:39"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row>
    <row r="632" spans="1:39"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row>
    <row r="633" spans="1:39"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row>
    <row r="634" spans="1:39"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row>
    <row r="635" spans="1:39"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row>
    <row r="636" spans="1:39"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row>
    <row r="637" spans="1:39"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row>
    <row r="638" spans="1:39"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row>
    <row r="639" spans="1:39"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row>
    <row r="640" spans="1:39"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row>
    <row r="641" spans="1:39"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row>
    <row r="642" spans="1:39"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row>
    <row r="643" spans="1:39"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row>
    <row r="644" spans="1:39"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row>
    <row r="645" spans="1:39"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row>
    <row r="646" spans="1:39"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row>
    <row r="647" spans="1:39"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row>
    <row r="648" spans="1:39"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row>
    <row r="649" spans="1:39"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row>
    <row r="650" spans="1:39"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row>
    <row r="651" spans="1:39"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row>
    <row r="652" spans="1:39"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row>
    <row r="653" spans="1:39"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row>
    <row r="654" spans="1:39"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row>
    <row r="655" spans="1:39"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row>
    <row r="656" spans="1:39"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row>
    <row r="657" spans="1:39"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row>
    <row r="658" spans="1:39"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row>
    <row r="659" spans="1:39"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row>
    <row r="660" spans="1:39"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row>
    <row r="661" spans="1:39"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row>
    <row r="662" spans="1:39"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row>
    <row r="663" spans="1:39"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row>
    <row r="664" spans="1:39"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row>
    <row r="665" spans="1:39"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row>
    <row r="666" spans="1:39"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row>
    <row r="667" spans="1:39"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row>
    <row r="668" spans="1:39"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row>
    <row r="669" spans="1:39"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row>
    <row r="670" spans="1:39"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row>
    <row r="671" spans="1:39"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row>
    <row r="672" spans="1:39"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row>
    <row r="673" spans="1:39"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row>
    <row r="674" spans="1:39"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row>
    <row r="675" spans="1:39"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row>
    <row r="676" spans="1:39"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row>
    <row r="677" spans="1:39"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row>
    <row r="678" spans="1:39"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row>
    <row r="679" spans="1:39"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row>
    <row r="680" spans="1:39"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row>
    <row r="681" spans="1:39"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row>
    <row r="682" spans="1:39"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row>
    <row r="683" spans="1:39"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row>
    <row r="684" spans="1:39"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row>
    <row r="685" spans="1:39"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row>
    <row r="686" spans="1:39"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row>
    <row r="687" spans="1:39"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row>
    <row r="688" spans="1:39"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row>
    <row r="689" spans="1:39"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row>
    <row r="690" spans="1:39"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row>
    <row r="691" spans="1:39"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row>
    <row r="692" spans="1:39"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row>
    <row r="693" spans="1:39"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row>
    <row r="694" spans="1:39"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row>
    <row r="695" spans="1:39"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row>
    <row r="696" spans="1:39"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row>
    <row r="697" spans="1:39"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row>
    <row r="698" spans="1:39"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row>
    <row r="699" spans="1:39"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row>
    <row r="700" spans="1:39"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row>
    <row r="701" spans="1:39"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row>
    <row r="702" spans="1:39"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row>
    <row r="703" spans="1:39"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row>
    <row r="704" spans="1:39"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row>
    <row r="705" spans="1:39"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row>
    <row r="706" spans="1:39"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row>
    <row r="707" spans="1:39"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row>
    <row r="708" spans="1:39"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row>
    <row r="709" spans="1:39"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row>
    <row r="710" spans="1:39"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row>
    <row r="711" spans="1:39"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row>
    <row r="712" spans="1:39"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row>
    <row r="713" spans="1:39"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row>
    <row r="714" spans="1:39"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row>
    <row r="715" spans="1:39"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row>
    <row r="716" spans="1:39"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row>
    <row r="717" spans="1:39"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row>
    <row r="718" spans="1:39"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row>
    <row r="719" spans="1:39"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row>
    <row r="720" spans="1:39"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row>
    <row r="721" spans="1:39"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row>
    <row r="722" spans="1:39"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row>
    <row r="723" spans="1:39"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row>
    <row r="724" spans="1:39"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row>
    <row r="725" spans="1:39"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row>
    <row r="726" spans="1:39"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row>
    <row r="727" spans="1:39"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row>
    <row r="728" spans="1:39"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row>
    <row r="729" spans="1:39"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row>
    <row r="730" spans="1:39"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row>
    <row r="731" spans="1:39"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row>
    <row r="732" spans="1:39"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row>
    <row r="733" spans="1:39"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row>
    <row r="734" spans="1:39"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row>
    <row r="735" spans="1:39"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row>
    <row r="736" spans="1:39"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row>
    <row r="737" spans="1:39"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row>
    <row r="738" spans="1:39"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row>
    <row r="739" spans="1:39"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row>
    <row r="740" spans="1:39"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row>
    <row r="741" spans="1:39"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row>
    <row r="742" spans="1:39"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row>
    <row r="743" spans="1:39"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row>
    <row r="744" spans="1:39"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row>
    <row r="745" spans="1:39"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row>
    <row r="746" spans="1:39"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row>
    <row r="747" spans="1:39"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row>
    <row r="748" spans="1:39"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row>
    <row r="749" spans="1:39"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row>
    <row r="750" spans="1:39"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row>
    <row r="751" spans="1:39"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row>
    <row r="752" spans="1:39"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row>
    <row r="753" spans="1:39"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row>
    <row r="754" spans="1:39"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row>
    <row r="755" spans="1:39"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row>
    <row r="756" spans="1:39"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row>
    <row r="757" spans="1:39"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row>
    <row r="758" spans="1:39"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row>
    <row r="759" spans="1:39"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row>
    <row r="760" spans="1:39"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row>
    <row r="761" spans="1:39"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row>
    <row r="762" spans="1:39"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row>
    <row r="763" spans="1:39"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row>
    <row r="764" spans="1:39"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row>
    <row r="765" spans="1:39"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row>
    <row r="766" spans="1:39"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row>
    <row r="767" spans="1:39"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row>
    <row r="768" spans="1:39"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row>
    <row r="769" spans="1:39"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row>
    <row r="770" spans="1:39"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row>
    <row r="771" spans="1:39"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row>
    <row r="772" spans="1:39"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row>
    <row r="773" spans="1:39"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row>
    <row r="774" spans="1:39"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row>
    <row r="775" spans="1:39"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row>
    <row r="776" spans="1:39"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row>
    <row r="777" spans="1:39"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row>
    <row r="778" spans="1:39"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row>
    <row r="779" spans="1:39"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row>
    <row r="780" spans="1:39"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row>
    <row r="781" spans="1:39"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row>
    <row r="782" spans="1:39"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row>
    <row r="783" spans="1:39"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row>
    <row r="784" spans="1:39"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row>
    <row r="785" spans="1:39"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row>
    <row r="786" spans="1:39"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row>
    <row r="787" spans="1:39"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row>
    <row r="788" spans="1:39"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row>
    <row r="789" spans="1:39"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row>
    <row r="790" spans="1:39"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row>
    <row r="791" spans="1:39"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row>
    <row r="792" spans="1:39"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row>
    <row r="793" spans="1:39"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row>
    <row r="794" spans="1:39"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row>
    <row r="795" spans="1:39"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row>
    <row r="796" spans="1:39"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row>
    <row r="797" spans="1:39"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row>
    <row r="798" spans="1:39"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row>
    <row r="799" spans="1:39"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row>
    <row r="800" spans="1:39"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row>
    <row r="801" spans="1:39"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row>
    <row r="802" spans="1:39"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row>
    <row r="803" spans="1:39"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row>
    <row r="804" spans="1:39"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row>
    <row r="805" spans="1:39"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row>
    <row r="806" spans="1:39"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row>
    <row r="807" spans="1:39"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row>
    <row r="808" spans="1:39"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row>
    <row r="809" spans="1:39"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row>
    <row r="810" spans="1:39"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row>
    <row r="811" spans="1:39"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row>
    <row r="812" spans="1:39"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row>
    <row r="813" spans="1:39"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row>
    <row r="814" spans="1:39"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row>
    <row r="815" spans="1:39"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row>
    <row r="816" spans="1:39"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row>
    <row r="817" spans="1:39"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row>
    <row r="818" spans="1:39"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row>
    <row r="819" spans="1:39"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row>
    <row r="820" spans="1:39"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row>
    <row r="821" spans="1:39"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row>
    <row r="822" spans="1:39"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row>
    <row r="823" spans="1:39"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row>
    <row r="824" spans="1:39"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row>
    <row r="825" spans="1:39"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row>
    <row r="826" spans="1:39"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row>
    <row r="827" spans="1:39"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row>
    <row r="828" spans="1:39"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row>
    <row r="829" spans="1:39"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row>
    <row r="830" spans="1:39"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row>
    <row r="831" spans="1:39"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row>
    <row r="832" spans="1:39"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row>
    <row r="833" spans="1:39"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row>
    <row r="834" spans="1:39"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row>
    <row r="835" spans="1:39"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row>
    <row r="836" spans="1:39"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row>
    <row r="837" spans="1:39"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row>
    <row r="838" spans="1:39"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row>
    <row r="839" spans="1:39"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row>
    <row r="840" spans="1:39"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row>
    <row r="841" spans="1:39"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row>
    <row r="842" spans="1:39"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row>
    <row r="843" spans="1:39"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row>
    <row r="844" spans="1:39"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row>
    <row r="845" spans="1:39"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row>
    <row r="846" spans="1:39"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row>
    <row r="847" spans="1:39"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row>
    <row r="848" spans="1:39"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row>
    <row r="849" spans="1:39"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row>
    <row r="850" spans="1:39"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row>
    <row r="851" spans="1:39"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row>
    <row r="852" spans="1:39"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row>
    <row r="853" spans="1:39"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row>
    <row r="854" spans="1:39"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row>
    <row r="855" spans="1:39"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row>
    <row r="856" spans="1:39"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row>
    <row r="857" spans="1:39"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row>
    <row r="858" spans="1:39"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row>
    <row r="859" spans="1:39"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row>
    <row r="860" spans="1:39"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row>
    <row r="861" spans="1:39"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row>
    <row r="862" spans="1:39"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row>
    <row r="863" spans="1:39"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row>
    <row r="864" spans="1:39"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row>
    <row r="865" spans="1:39"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row>
    <row r="866" spans="1:39"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row>
    <row r="867" spans="1:39"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row>
    <row r="868" spans="1:39"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row>
    <row r="869" spans="1:39"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row>
    <row r="870" spans="1:39"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row>
    <row r="871" spans="1:39"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row>
    <row r="872" spans="1:39"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row>
    <row r="873" spans="1:39"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row>
    <row r="874" spans="1:39"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row>
    <row r="875" spans="1:39"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row>
    <row r="876" spans="1:39"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row>
    <row r="877" spans="1:39"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row>
    <row r="878" spans="1:39"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row>
    <row r="879" spans="1:39"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row>
    <row r="880" spans="1:39"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row>
    <row r="881" spans="1:39"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row>
    <row r="882" spans="1:39"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row>
    <row r="883" spans="1:39"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row>
    <row r="884" spans="1:39"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row>
    <row r="885" spans="1:39"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row>
    <row r="886" spans="1:39"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row>
    <row r="887" spans="1:39"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row>
    <row r="888" spans="1:39"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row>
    <row r="889" spans="1:39"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row>
    <row r="890" spans="1:39"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row>
    <row r="891" spans="1:39"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row>
    <row r="892" spans="1:39"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row>
    <row r="893" spans="1:39"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row>
    <row r="894" spans="1:39"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row>
    <row r="895" spans="1:39"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row>
    <row r="896" spans="1:39"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row>
    <row r="897" spans="1:39"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row>
    <row r="898" spans="1:39"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row>
    <row r="899" spans="1:39"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row>
    <row r="900" spans="1:39"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row>
    <row r="901" spans="1:39"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row>
    <row r="902" spans="1:39"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row>
    <row r="903" spans="1:39"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row>
    <row r="904" spans="1:39"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row>
    <row r="905" spans="1:39"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row>
    <row r="906" spans="1:39"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row>
    <row r="907" spans="1:39"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row>
    <row r="908" spans="1:39"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row>
    <row r="909" spans="1:39"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row>
    <row r="910" spans="1:39"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row>
    <row r="911" spans="1:39"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row>
    <row r="912" spans="1:39"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row>
    <row r="913" spans="1:39"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row>
    <row r="914" spans="1:39"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row>
    <row r="915" spans="1:39"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row>
    <row r="916" spans="1:39"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row>
    <row r="917" spans="1:39"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row>
    <row r="918" spans="1:39"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row>
    <row r="919" spans="1:39"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row>
    <row r="920" spans="1:39"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row>
    <row r="921" spans="1:39"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row>
    <row r="922" spans="1:39"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row>
    <row r="923" spans="1:39"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row>
    <row r="924" spans="1:39"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row>
    <row r="925" spans="1:39"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row>
    <row r="926" spans="1:39"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row>
    <row r="927" spans="1:39"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row>
    <row r="928" spans="1:39"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row>
    <row r="929" spans="1:39"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row>
    <row r="930" spans="1:39"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row>
    <row r="931" spans="1:39"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row>
    <row r="932" spans="1:39"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row>
    <row r="933" spans="1:39"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row>
    <row r="934" spans="1:39"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row>
    <row r="935" spans="1:39"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row>
    <row r="936" spans="1:39"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row>
    <row r="937" spans="1:39"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row>
    <row r="938" spans="1:39"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row>
    <row r="939" spans="1:39"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row>
    <row r="940" spans="1:39"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row>
    <row r="941" spans="1:39"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row>
    <row r="942" spans="1:39"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row>
    <row r="943" spans="1:39"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row>
    <row r="944" spans="1:39"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row>
    <row r="945" spans="1:39"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row>
    <row r="946" spans="1:39"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row>
    <row r="947" spans="1:39"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row>
    <row r="948" spans="1:39"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row>
    <row r="949" spans="1:39"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row>
    <row r="950" spans="1:39"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row>
    <row r="951" spans="1:39"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row>
    <row r="952" spans="1:39"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row>
    <row r="953" spans="1:39"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row>
    <row r="954" spans="1:39"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row>
    <row r="955" spans="1:39"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row>
    <row r="956" spans="1:39"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row>
    <row r="957" spans="1:39"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row>
    <row r="958" spans="1:39"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row>
    <row r="959" spans="1:39"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row>
    <row r="960" spans="1:39"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row>
    <row r="961" spans="1:39"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row>
    <row r="962" spans="1:39"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row>
    <row r="963" spans="1:39"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row>
    <row r="964" spans="1:39"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row>
    <row r="965" spans="1:39"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row>
    <row r="966" spans="1:39"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row>
    <row r="967" spans="1:39"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row>
    <row r="968" spans="1:39"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row>
    <row r="969" spans="1:39"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row>
    <row r="970" spans="1:39"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row>
    <row r="971" spans="1:39"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row>
    <row r="972" spans="1:39"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row>
    <row r="973" spans="1:39"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row>
    <row r="974" spans="1:39"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row>
    <row r="975" spans="1:39"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row>
    <row r="976" spans="1:39"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row>
    <row r="977" spans="1:39"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row>
    <row r="978" spans="1:39"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row>
    <row r="979" spans="1:39"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row>
    <row r="980" spans="1:39"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row>
    <row r="981" spans="1:39"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row>
    <row r="982" spans="1:39"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row>
    <row r="983" spans="1:39"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row>
    <row r="984" spans="1:39"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row>
    <row r="985" spans="1:39"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row>
    <row r="986" spans="1:39"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row>
    <row r="987" spans="1:39"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row>
    <row r="988" spans="1:39"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row>
    <row r="989" spans="1:39"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row>
    <row r="990" spans="1:39"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row>
    <row r="991" spans="1:39"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row>
    <row r="992" spans="1:39"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row>
    <row r="993" spans="1:39"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row>
    <row r="994" spans="1:39"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row>
    <row r="995" spans="1:39"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row>
    <row r="996" spans="1:39"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row>
    <row r="997" spans="1:39"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row>
    <row r="998" spans="1:39"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row>
    <row r="999" spans="1:39"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row>
    <row r="1000" spans="1:39"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row>
  </sheetData>
  <mergeCells count="1">
    <mergeCell ref="B2:H2"/>
  </mergeCell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29635-1966-4365-8CBD-C3729541A3B5}">
  <dimension ref="A1:AM1000"/>
  <sheetViews>
    <sheetView workbookViewId="0"/>
  </sheetViews>
  <sheetFormatPr defaultColWidth="16.83203125" defaultRowHeight="11.25" x14ac:dyDescent="0.2"/>
  <cols>
    <col min="1" max="1" width="6" customWidth="1"/>
    <col min="2" max="2" width="36.83203125" customWidth="1"/>
    <col min="3" max="3" width="20" customWidth="1"/>
    <col min="4" max="4" width="29.33203125" customWidth="1"/>
    <col min="5" max="39" width="14" customWidth="1"/>
  </cols>
  <sheetData>
    <row r="1" spans="1:39" ht="15"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39" ht="15.75" x14ac:dyDescent="0.25">
      <c r="A2" s="3"/>
      <c r="B2" s="1828" t="s">
        <v>1615</v>
      </c>
      <c r="C2" s="1829"/>
      <c r="D2" s="1829"/>
      <c r="E2" s="1829"/>
      <c r="F2" s="1829"/>
      <c r="G2" s="1829"/>
      <c r="H2" s="1830"/>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ht="1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row>
    <row r="4" spans="1:39" ht="1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row>
    <row r="5" spans="1:39" ht="15" x14ac:dyDescent="0.25">
      <c r="A5" s="3"/>
      <c r="B5" s="1723" t="s">
        <v>1616</v>
      </c>
      <c r="C5" s="1724"/>
      <c r="D5" s="1724"/>
      <c r="E5" s="1724"/>
      <c r="F5" s="1724"/>
      <c r="G5" s="1724"/>
      <c r="H5" s="1724"/>
      <c r="I5" s="1724"/>
      <c r="J5" s="1724"/>
      <c r="K5" s="1724"/>
      <c r="L5" s="1724"/>
      <c r="M5" s="1724"/>
      <c r="N5" s="1724"/>
      <c r="O5" s="1724"/>
      <c r="P5" s="1724"/>
      <c r="Q5" s="1724"/>
      <c r="R5" s="1724"/>
      <c r="S5" s="1724"/>
      <c r="T5" s="1724"/>
      <c r="U5" s="1724"/>
      <c r="V5" s="1724"/>
      <c r="W5" s="1724"/>
      <c r="X5" s="1724"/>
      <c r="Y5" s="1724"/>
      <c r="Z5" s="1724"/>
      <c r="AA5" s="1724"/>
      <c r="AB5" s="1724"/>
      <c r="AC5" s="1724"/>
      <c r="AD5" s="1724"/>
      <c r="AE5" s="1724"/>
      <c r="AF5" s="1724"/>
      <c r="AG5" s="1724"/>
      <c r="AH5" s="1724"/>
      <c r="AI5" s="1724"/>
      <c r="AJ5" s="1724"/>
      <c r="AK5" s="1724"/>
      <c r="AL5" s="1724"/>
      <c r="AM5" s="1725"/>
    </row>
    <row r="6" spans="1:39" ht="15" x14ac:dyDescent="0.25">
      <c r="A6" s="3"/>
      <c r="B6" s="1714" t="s">
        <v>1617</v>
      </c>
      <c r="C6" s="3" t="s">
        <v>1618</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row>
    <row r="7" spans="1:39" ht="15" x14ac:dyDescent="0.25">
      <c r="A7" s="3"/>
      <c r="B7" s="1714" t="s">
        <v>1619</v>
      </c>
      <c r="C7" s="3" t="s">
        <v>1620</v>
      </c>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row>
    <row r="8" spans="1:39" ht="15" x14ac:dyDescent="0.25">
      <c r="A8" s="3"/>
      <c r="B8" s="1714" t="s">
        <v>1621</v>
      </c>
      <c r="C8" s="3" t="s">
        <v>1622</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row>
    <row r="9" spans="1:39" ht="15" x14ac:dyDescent="0.25">
      <c r="A9" s="3"/>
      <c r="B9" s="1714" t="s">
        <v>1623</v>
      </c>
      <c r="C9" s="3" t="s">
        <v>344</v>
      </c>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row>
    <row r="10" spans="1:39" ht="15" x14ac:dyDescent="0.25">
      <c r="A10" s="3"/>
      <c r="B10" s="1714" t="s">
        <v>1624</v>
      </c>
      <c r="C10" s="3" t="s">
        <v>1625</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row>
    <row r="11" spans="1:39" ht="15" x14ac:dyDescent="0.25">
      <c r="A11" s="3"/>
      <c r="B11" s="1714" t="s">
        <v>1626</v>
      </c>
      <c r="C11" s="3" t="s">
        <v>1627</v>
      </c>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row>
    <row r="12" spans="1:39" ht="15" x14ac:dyDescent="0.25">
      <c r="A12" s="3"/>
      <c r="B12" s="1714" t="s">
        <v>1628</v>
      </c>
      <c r="C12" s="3" t="s">
        <v>1473</v>
      </c>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row>
    <row r="13" spans="1:39" ht="15" x14ac:dyDescent="0.25">
      <c r="A13" s="3"/>
      <c r="B13" s="1714" t="s">
        <v>1629</v>
      </c>
      <c r="C13" s="3" t="s">
        <v>1630</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row>
    <row r="14" spans="1:39" ht="15" x14ac:dyDescent="0.2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row>
    <row r="15" spans="1:39" ht="15" x14ac:dyDescent="0.25">
      <c r="A15" s="3"/>
      <c r="B15" s="1714" t="s">
        <v>1631</v>
      </c>
      <c r="C15" s="1714" t="s">
        <v>1632</v>
      </c>
      <c r="D15" s="1714" t="s">
        <v>1633</v>
      </c>
      <c r="E15" s="1714" t="s">
        <v>1634</v>
      </c>
      <c r="F15" s="1714" t="s">
        <v>1635</v>
      </c>
      <c r="G15" s="1714" t="s">
        <v>1636</v>
      </c>
      <c r="H15" s="1714" t="s">
        <v>1637</v>
      </c>
      <c r="I15" s="1714" t="s">
        <v>1638</v>
      </c>
      <c r="J15" s="1714" t="s">
        <v>1639</v>
      </c>
      <c r="K15" s="1714" t="s">
        <v>1640</v>
      </c>
      <c r="L15" s="1714" t="s">
        <v>1641</v>
      </c>
      <c r="M15" s="1714" t="s">
        <v>1642</v>
      </c>
      <c r="N15" s="1714" t="s">
        <v>1643</v>
      </c>
      <c r="O15" s="1714" t="s">
        <v>1644</v>
      </c>
      <c r="P15" s="1714" t="s">
        <v>1645</v>
      </c>
      <c r="Q15" s="1714" t="s">
        <v>1646</v>
      </c>
      <c r="R15" s="1714" t="s">
        <v>1647</v>
      </c>
      <c r="S15" s="1714" t="s">
        <v>1648</v>
      </c>
      <c r="T15" s="1714" t="s">
        <v>1649</v>
      </c>
      <c r="U15" s="1714" t="s">
        <v>1650</v>
      </c>
      <c r="V15" s="1714" t="s">
        <v>1651</v>
      </c>
      <c r="W15" s="1714" t="s">
        <v>1652</v>
      </c>
      <c r="X15" s="1714" t="s">
        <v>1653</v>
      </c>
      <c r="Y15" s="1714" t="s">
        <v>1654</v>
      </c>
      <c r="Z15" s="1714" t="s">
        <v>1655</v>
      </c>
      <c r="AA15" s="1714" t="s">
        <v>1656</v>
      </c>
      <c r="AB15" s="1714" t="s">
        <v>1657</v>
      </c>
      <c r="AC15" s="1714" t="s">
        <v>1658</v>
      </c>
      <c r="AD15" s="1714" t="s">
        <v>1659</v>
      </c>
      <c r="AE15" s="1714" t="s">
        <v>1660</v>
      </c>
      <c r="AF15" s="1714" t="s">
        <v>1661</v>
      </c>
      <c r="AG15" s="1714" t="s">
        <v>1662</v>
      </c>
      <c r="AH15" s="1714" t="s">
        <v>1663</v>
      </c>
      <c r="AI15" s="1714" t="s">
        <v>1664</v>
      </c>
      <c r="AJ15" s="1714" t="s">
        <v>1665</v>
      </c>
      <c r="AK15" s="1714" t="s">
        <v>1666</v>
      </c>
      <c r="AL15" s="1714" t="s">
        <v>1667</v>
      </c>
      <c r="AM15" s="1714"/>
    </row>
    <row r="16" spans="1:39" ht="15" x14ac:dyDescent="0.25">
      <c r="A16" s="3"/>
      <c r="B16" s="3" t="s">
        <v>1668</v>
      </c>
      <c r="C16" s="3" t="s">
        <v>3</v>
      </c>
      <c r="D16" s="3" t="s">
        <v>1669</v>
      </c>
      <c r="E16" s="3">
        <v>1</v>
      </c>
      <c r="F16" s="1726">
        <v>0</v>
      </c>
      <c r="G16" s="1726">
        <v>0</v>
      </c>
      <c r="H16" s="1726">
        <v>0</v>
      </c>
      <c r="I16" s="1726">
        <v>0</v>
      </c>
      <c r="J16" s="1726">
        <v>0</v>
      </c>
      <c r="K16" s="1726">
        <v>0</v>
      </c>
      <c r="L16" s="1726">
        <v>0</v>
      </c>
      <c r="M16" s="1726">
        <v>0</v>
      </c>
      <c r="N16" s="1726">
        <v>9.8519299213394535E-9</v>
      </c>
      <c r="O16" s="1726">
        <v>3.1540939323378811E-8</v>
      </c>
      <c r="P16" s="1726">
        <v>6.2501428747742371E-8</v>
      </c>
      <c r="Q16" s="1726">
        <v>1.018511703728463E-7</v>
      </c>
      <c r="R16" s="1726">
        <v>1.4894636659878889E-7</v>
      </c>
      <c r="S16" s="1726">
        <v>2.0074600781338119E-7</v>
      </c>
      <c r="T16" s="1726">
        <v>2.6107617905303778E-7</v>
      </c>
      <c r="U16" s="1726">
        <v>3.2987329132971848E-7</v>
      </c>
      <c r="V16" s="1726">
        <v>4.0711289923977971E-7</v>
      </c>
      <c r="W16" s="1726">
        <v>4.8314336560554063E-7</v>
      </c>
      <c r="X16" s="1726">
        <v>5.5882771452414812E-7</v>
      </c>
      <c r="Y16" s="1726">
        <v>6.3589657153355418E-7</v>
      </c>
      <c r="Z16" s="1726">
        <v>7.1660050457866461E-7</v>
      </c>
      <c r="AA16" s="1726">
        <v>7.9894555566048068E-7</v>
      </c>
      <c r="AB16" s="1726">
        <v>8.85221012763728E-7</v>
      </c>
      <c r="AC16" s="1726">
        <v>9.7440790019803123E-7</v>
      </c>
      <c r="AD16" s="1726">
        <v>1.0670013135791511E-6</v>
      </c>
      <c r="AE16" s="1726">
        <v>1.1630521332887881E-6</v>
      </c>
      <c r="AF16" s="1726">
        <v>1.261290134713085E-6</v>
      </c>
      <c r="AG16" s="1726">
        <v>1.3659550986162041E-6</v>
      </c>
      <c r="AH16" s="1726">
        <v>1.4755733918879199E-6</v>
      </c>
      <c r="AI16" s="1726">
        <v>1.5902747935584759E-6</v>
      </c>
      <c r="AJ16" s="1726">
        <v>1.668144611637901E-6</v>
      </c>
      <c r="AK16" s="1726">
        <v>1.7298704460152931E-6</v>
      </c>
      <c r="AL16" s="1726">
        <v>1.785639279141623E-6</v>
      </c>
      <c r="AM16" s="1726"/>
    </row>
    <row r="17" spans="1:39" ht="15" x14ac:dyDescent="0.25">
      <c r="A17" s="3"/>
      <c r="B17" s="3" t="s">
        <v>1670</v>
      </c>
      <c r="C17" s="3" t="s">
        <v>3</v>
      </c>
      <c r="D17" s="3" t="s">
        <v>1669</v>
      </c>
      <c r="E17" s="3">
        <v>1</v>
      </c>
      <c r="F17" s="1726">
        <v>2.6131014791080082E-7</v>
      </c>
      <c r="G17" s="1726">
        <v>4.1898124909234098E-7</v>
      </c>
      <c r="H17" s="1726">
        <v>5.8111866987456702E-7</v>
      </c>
      <c r="I17" s="1726">
        <v>7.4840461171582204E-7</v>
      </c>
      <c r="J17" s="1726">
        <v>9.2201719908830302E-7</v>
      </c>
      <c r="K17" s="1726">
        <v>2.3052706395561522E-6</v>
      </c>
      <c r="L17" s="1726">
        <v>4.4136082214367739E-6</v>
      </c>
      <c r="M17" s="1726">
        <v>6.5946290152229707E-6</v>
      </c>
      <c r="N17" s="1726">
        <v>8.8466612984224004E-6</v>
      </c>
      <c r="O17" s="1726">
        <v>1.147830442458914E-5</v>
      </c>
      <c r="P17" s="1726">
        <v>1.2507147924218111E-5</v>
      </c>
      <c r="Q17" s="1726">
        <v>1.314530607109544E-5</v>
      </c>
      <c r="R17" s="1726">
        <v>1.713973749358667E-5</v>
      </c>
      <c r="S17" s="1726">
        <v>2.1744247344928299E-5</v>
      </c>
      <c r="T17" s="1726">
        <v>2.306901239073155E-5</v>
      </c>
      <c r="U17" s="1726">
        <v>2.4384035920381919E-5</v>
      </c>
      <c r="V17" s="1726">
        <v>2.5685308896897321E-5</v>
      </c>
      <c r="W17" s="1726">
        <v>2.69879996666842E-5</v>
      </c>
      <c r="X17" s="1726">
        <v>2.8364564007057459E-5</v>
      </c>
      <c r="Y17" s="1726">
        <v>3.1166396877940423E-5</v>
      </c>
      <c r="Z17" s="1726">
        <v>3.4618545587236393E-5</v>
      </c>
      <c r="AA17" s="1726">
        <v>3.6918482212532093E-5</v>
      </c>
      <c r="AB17" s="1726">
        <v>3.867669343107176E-5</v>
      </c>
      <c r="AC17" s="1726">
        <v>4.0727676739808633E-5</v>
      </c>
      <c r="AD17" s="1726">
        <v>4.3031867101066257E-5</v>
      </c>
      <c r="AE17" s="1726">
        <v>4.5313001867797073E-5</v>
      </c>
      <c r="AF17" s="1726">
        <v>4.8376348474465388E-5</v>
      </c>
      <c r="AG17" s="1726">
        <v>5.1409482806971542E-5</v>
      </c>
      <c r="AH17" s="1726">
        <v>5.50670128350142E-5</v>
      </c>
      <c r="AI17" s="1726">
        <v>5.8640584864915532E-5</v>
      </c>
      <c r="AJ17" s="1726">
        <v>6.3052900975069188E-5</v>
      </c>
      <c r="AK17" s="1726">
        <v>6.6892769382864136E-5</v>
      </c>
      <c r="AL17" s="1726">
        <v>7.0764145343318397E-5</v>
      </c>
      <c r="AM17" s="1726"/>
    </row>
    <row r="18" spans="1:39" ht="15" x14ac:dyDescent="0.25">
      <c r="A18" s="3"/>
      <c r="B18" s="3" t="s">
        <v>1671</v>
      </c>
      <c r="C18" s="3" t="s">
        <v>3</v>
      </c>
      <c r="D18" s="3" t="s">
        <v>1669</v>
      </c>
      <c r="E18" s="3">
        <v>1</v>
      </c>
      <c r="F18" s="1726">
        <v>0</v>
      </c>
      <c r="G18" s="1726">
        <v>0</v>
      </c>
      <c r="H18" s="1726">
        <v>0</v>
      </c>
      <c r="I18" s="1726">
        <v>0</v>
      </c>
      <c r="J18" s="1726">
        <v>0</v>
      </c>
      <c r="K18" s="1726">
        <v>0</v>
      </c>
      <c r="L18" s="1726">
        <v>0</v>
      </c>
      <c r="M18" s="1726">
        <v>0</v>
      </c>
      <c r="N18" s="1726">
        <v>0</v>
      </c>
      <c r="O18" s="1726">
        <v>0</v>
      </c>
      <c r="P18" s="1726">
        <v>0</v>
      </c>
      <c r="Q18" s="1726">
        <v>0</v>
      </c>
      <c r="R18" s="1726">
        <v>0</v>
      </c>
      <c r="S18" s="1726">
        <v>0</v>
      </c>
      <c r="T18" s="1726">
        <v>0</v>
      </c>
      <c r="U18" s="1726">
        <v>0</v>
      </c>
      <c r="V18" s="1726">
        <v>0</v>
      </c>
      <c r="W18" s="1726">
        <v>0</v>
      </c>
      <c r="X18" s="1726">
        <v>0</v>
      </c>
      <c r="Y18" s="1726">
        <v>0</v>
      </c>
      <c r="Z18" s="1726">
        <v>0</v>
      </c>
      <c r="AA18" s="1726">
        <v>0</v>
      </c>
      <c r="AB18" s="1726">
        <v>3.70462863680154E-10</v>
      </c>
      <c r="AC18" s="1726">
        <v>1.1108583319757149E-9</v>
      </c>
      <c r="AD18" s="1726">
        <v>1.2944556663871841E-9</v>
      </c>
      <c r="AE18" s="1726">
        <v>2.3984260362871581E-9</v>
      </c>
      <c r="AF18" s="1726">
        <v>2.940498638410223E-9</v>
      </c>
      <c r="AG18" s="1726">
        <v>6.4163774596117491E-9</v>
      </c>
      <c r="AH18" s="1726">
        <v>1.353233746433338E-8</v>
      </c>
      <c r="AI18" s="1726">
        <v>2.4263685619281551E-8</v>
      </c>
      <c r="AJ18" s="1726">
        <v>3.9230959730470671E-8</v>
      </c>
      <c r="AK18" s="1726">
        <v>5.8312306612808159E-8</v>
      </c>
      <c r="AL18" s="1726">
        <v>8.8385301478315641E-8</v>
      </c>
      <c r="AM18" s="1726"/>
    </row>
    <row r="19" spans="1:39" ht="15" x14ac:dyDescent="0.25">
      <c r="A19" s="3"/>
      <c r="B19" s="3" t="s">
        <v>1668</v>
      </c>
      <c r="C19" s="3" t="s">
        <v>1672</v>
      </c>
      <c r="D19" s="3" t="s">
        <v>1673</v>
      </c>
      <c r="E19" s="3">
        <v>3170</v>
      </c>
      <c r="F19" s="1726">
        <v>0</v>
      </c>
      <c r="G19" s="1726">
        <v>0</v>
      </c>
      <c r="H19" s="1726">
        <v>0</v>
      </c>
      <c r="I19" s="1726">
        <v>0</v>
      </c>
      <c r="J19" s="1726">
        <v>0</v>
      </c>
      <c r="K19" s="1726">
        <v>0</v>
      </c>
      <c r="L19" s="1726">
        <v>0</v>
      </c>
      <c r="M19" s="1726">
        <v>2.707762738895486E-5</v>
      </c>
      <c r="N19" s="1726">
        <v>8.6931551058900983E-5</v>
      </c>
      <c r="O19" s="1726">
        <v>1.863040424496161E-4</v>
      </c>
      <c r="P19" s="1726">
        <v>3.1273547703796481E-4</v>
      </c>
      <c r="Q19" s="1726">
        <v>5.1983172190548646E-4</v>
      </c>
      <c r="R19" s="1726">
        <v>8.0178753633182497E-4</v>
      </c>
      <c r="S19" s="1726">
        <v>1.0834609757761769E-3</v>
      </c>
      <c r="T19" s="1726">
        <v>1.3939861319519551E-3</v>
      </c>
      <c r="U19" s="1726">
        <v>1.73277048366962E-3</v>
      </c>
      <c r="V19" s="1726">
        <v>2.0952357832950178E-3</v>
      </c>
      <c r="W19" s="1726">
        <v>2.4518460588209851E-3</v>
      </c>
      <c r="X19" s="1726">
        <v>2.8027344076029899E-3</v>
      </c>
      <c r="Y19" s="1726">
        <v>2.5626719382125999E-3</v>
      </c>
      <c r="Z19" s="1726">
        <v>2.752380230469018E-3</v>
      </c>
      <c r="AA19" s="1726">
        <v>3.2288385920380609E-3</v>
      </c>
      <c r="AB19" s="1726">
        <v>3.824497153161363E-3</v>
      </c>
      <c r="AC19" s="1726">
        <v>4.270337205032915E-3</v>
      </c>
      <c r="AD19" s="1726">
        <v>5.3506683554602431E-3</v>
      </c>
      <c r="AE19" s="1726">
        <v>5.2407328336516431E-3</v>
      </c>
      <c r="AF19" s="1726">
        <v>6.1727424067068029E-3</v>
      </c>
      <c r="AG19" s="1726">
        <v>5.5345313365690032E-3</v>
      </c>
      <c r="AH19" s="1726">
        <v>6.4767103186586942E-3</v>
      </c>
      <c r="AI19" s="1726">
        <v>6.1203556267807966E-3</v>
      </c>
      <c r="AJ19" s="1726">
        <v>6.9972372579427166E-3</v>
      </c>
      <c r="AK19" s="1726">
        <v>7.2624295668966832E-3</v>
      </c>
      <c r="AL19" s="1726">
        <v>7.5245276682444923E-3</v>
      </c>
      <c r="AM19" s="1726"/>
    </row>
    <row r="20" spans="1:39" ht="15" x14ac:dyDescent="0.25">
      <c r="A20" s="3"/>
      <c r="B20" s="3" t="s">
        <v>1671</v>
      </c>
      <c r="C20" s="3" t="s">
        <v>1672</v>
      </c>
      <c r="D20" s="3" t="s">
        <v>1673</v>
      </c>
      <c r="E20" s="3">
        <v>3170</v>
      </c>
      <c r="F20" s="1726">
        <v>2.0830797606810991E-6</v>
      </c>
      <c r="G20" s="1726">
        <v>5.1310290580785562E-6</v>
      </c>
      <c r="H20" s="1726">
        <v>9.8378592437783122E-6</v>
      </c>
      <c r="I20" s="1726">
        <v>1.8322801458537179E-3</v>
      </c>
      <c r="J20" s="1726">
        <v>4.8728700758485701E-3</v>
      </c>
      <c r="K20" s="1726">
        <v>1.032790790201873E-2</v>
      </c>
      <c r="L20" s="1726">
        <v>1.7579836613494621E-2</v>
      </c>
      <c r="M20" s="1726">
        <v>2.713524858003856E-2</v>
      </c>
      <c r="N20" s="1726">
        <v>3.548195471409131E-2</v>
      </c>
      <c r="O20" s="1726">
        <v>4.6437791534360923E-2</v>
      </c>
      <c r="P20" s="1726">
        <v>5.5499792791662977E-2</v>
      </c>
      <c r="Q20" s="1726">
        <v>6.7528539052567685E-2</v>
      </c>
      <c r="R20" s="1726">
        <v>8.1966989013505881E-2</v>
      </c>
      <c r="S20" s="1726">
        <v>9.7832896017233148E-2</v>
      </c>
      <c r="T20" s="1726">
        <v>0.1141723963425368</v>
      </c>
      <c r="U20" s="1726">
        <v>0.14353410156192381</v>
      </c>
      <c r="V20" s="1726">
        <v>0.18096797410503329</v>
      </c>
      <c r="W20" s="1726">
        <v>0.22928927713897171</v>
      </c>
      <c r="X20" s="1726">
        <v>0.2811016094500573</v>
      </c>
      <c r="Y20" s="1726">
        <v>0.27603704284800851</v>
      </c>
      <c r="Z20" s="1726">
        <v>0.31935177334421078</v>
      </c>
      <c r="AA20" s="1726">
        <v>0.39418764670580742</v>
      </c>
      <c r="AB20" s="1726">
        <v>0.48079928856448328</v>
      </c>
      <c r="AC20" s="1726">
        <v>0.55078410886429996</v>
      </c>
      <c r="AD20" s="1726">
        <v>0.70366761255527266</v>
      </c>
      <c r="AE20" s="1726">
        <v>0.69749796964637756</v>
      </c>
      <c r="AF20" s="1726">
        <v>0.83328892692382928</v>
      </c>
      <c r="AG20" s="1726">
        <v>0.75152261346217619</v>
      </c>
      <c r="AH20" s="1726">
        <v>0.89051178607043024</v>
      </c>
      <c r="AI20" s="1726">
        <v>0.86712904720235651</v>
      </c>
      <c r="AJ20" s="1726">
        <v>1.041814281846178</v>
      </c>
      <c r="AK20" s="1726">
        <v>1.197965397985284</v>
      </c>
      <c r="AL20" s="1726">
        <v>1.3027469851872151</v>
      </c>
      <c r="AM20" s="1726"/>
    </row>
    <row r="21" spans="1:39" ht="15.75" customHeight="1" x14ac:dyDescent="0.25">
      <c r="A21" s="3"/>
      <c r="B21" s="3" t="s">
        <v>1670</v>
      </c>
      <c r="C21" s="3" t="s">
        <v>1672</v>
      </c>
      <c r="D21" s="3" t="s">
        <v>1674</v>
      </c>
      <c r="E21" s="3">
        <v>1300</v>
      </c>
      <c r="F21" s="1726">
        <v>0</v>
      </c>
      <c r="G21" s="1726">
        <v>0</v>
      </c>
      <c r="H21" s="1726">
        <v>0</v>
      </c>
      <c r="I21" s="1726">
        <v>0</v>
      </c>
      <c r="J21" s="1726">
        <v>0</v>
      </c>
      <c r="K21" s="1726">
        <v>0</v>
      </c>
      <c r="L21" s="1726">
        <v>4.7083012191387092E-4</v>
      </c>
      <c r="M21" s="1726">
        <v>9.7398562366991608E-4</v>
      </c>
      <c r="N21" s="1726">
        <v>1.5172377292203411E-3</v>
      </c>
      <c r="O21" s="1726">
        <v>2.0890454138388749E-3</v>
      </c>
      <c r="P21" s="1726">
        <v>2.2597233969434368E-3</v>
      </c>
      <c r="Q21" s="1726">
        <v>2.449931277654476E-3</v>
      </c>
      <c r="R21" s="1726">
        <v>9.6719329994966411E-3</v>
      </c>
      <c r="S21" s="1726">
        <v>1.798711497273375E-2</v>
      </c>
      <c r="T21" s="1726">
        <v>2.0047647530325102E-2</v>
      </c>
      <c r="U21" s="1726">
        <v>2.2196067947018928E-2</v>
      </c>
      <c r="V21" s="1726">
        <v>2.4372083845772899E-2</v>
      </c>
      <c r="W21" s="1726">
        <v>2.6622561246531871E-2</v>
      </c>
      <c r="X21" s="1726">
        <v>2.8829089321157471E-2</v>
      </c>
      <c r="Y21" s="1726">
        <v>4.9818769159364368E-2</v>
      </c>
      <c r="Z21" s="1726">
        <v>6.4518060128460356E-2</v>
      </c>
      <c r="AA21" s="1726">
        <v>6.9924118282950087E-2</v>
      </c>
      <c r="AB21" s="1726">
        <v>7.5492315634510768E-2</v>
      </c>
      <c r="AC21" s="1726">
        <v>0.102910838314077</v>
      </c>
      <c r="AD21" s="1726">
        <v>0.12581848736913631</v>
      </c>
      <c r="AE21" s="1726">
        <v>0.12643396100004839</v>
      </c>
      <c r="AF21" s="1726">
        <v>0.1224032452974238</v>
      </c>
      <c r="AG21" s="1726">
        <v>0.10682381967856761</v>
      </c>
      <c r="AH21" s="1726">
        <v>0.12017952117463469</v>
      </c>
      <c r="AI21" s="1726">
        <v>0.1172780049648126</v>
      </c>
      <c r="AJ21" s="1726">
        <v>0.12873840644907619</v>
      </c>
      <c r="AK21" s="1726">
        <v>6.8501506529416265E-2</v>
      </c>
      <c r="AL21" s="1726">
        <v>7.3144160071592967E-2</v>
      </c>
      <c r="AM21" s="1726"/>
    </row>
    <row r="22" spans="1:39" ht="15.75" customHeight="1" x14ac:dyDescent="0.25">
      <c r="A22" s="3"/>
      <c r="B22" s="3" t="s">
        <v>1675</v>
      </c>
      <c r="C22" s="3" t="s">
        <v>1672</v>
      </c>
      <c r="D22" s="3" t="s">
        <v>1674</v>
      </c>
      <c r="E22" s="3">
        <v>1300</v>
      </c>
      <c r="F22" s="1726">
        <v>0</v>
      </c>
      <c r="G22" s="1726">
        <v>0</v>
      </c>
      <c r="H22" s="1726">
        <v>0</v>
      </c>
      <c r="I22" s="1726">
        <v>0</v>
      </c>
      <c r="J22" s="1726">
        <v>0</v>
      </c>
      <c r="K22" s="1726">
        <v>0</v>
      </c>
      <c r="L22" s="1726">
        <v>0</v>
      </c>
      <c r="M22" s="1726">
        <v>3.2235782254365608E-4</v>
      </c>
      <c r="N22" s="1726">
        <v>6.5270642478647929E-4</v>
      </c>
      <c r="O22" s="1726">
        <v>9.9047932329365059E-4</v>
      </c>
      <c r="P22" s="1726">
        <v>1.371567092698403E-3</v>
      </c>
      <c r="Q22" s="1726">
        <v>3.1367205233573548E-3</v>
      </c>
      <c r="R22" s="1726">
        <v>4.9577196476018647E-3</v>
      </c>
      <c r="S22" s="1726">
        <v>6.8239834112029498E-3</v>
      </c>
      <c r="T22" s="1726">
        <v>8.7482454746959041E-3</v>
      </c>
      <c r="U22" s="1726">
        <v>1.0728317244315449E-2</v>
      </c>
      <c r="V22" s="1726">
        <v>1.274075218509407E-2</v>
      </c>
      <c r="W22" s="1726">
        <v>1.4772572226350729E-2</v>
      </c>
      <c r="X22" s="1726">
        <v>1.645456790318444E-2</v>
      </c>
      <c r="Y22" s="1726">
        <v>1.786536512200915E-2</v>
      </c>
      <c r="Z22" s="1726">
        <v>1.703998626796414E-2</v>
      </c>
      <c r="AA22" s="1726">
        <v>1.8568296455186279E-2</v>
      </c>
      <c r="AB22" s="1726">
        <v>1.74196565713742E-2</v>
      </c>
      <c r="AC22" s="1726">
        <v>2.0422720773557269E-2</v>
      </c>
      <c r="AD22" s="1726">
        <v>2.129631658524931E-2</v>
      </c>
      <c r="AE22" s="1726">
        <v>1.798754599747918E-2</v>
      </c>
      <c r="AF22" s="1726">
        <v>2.099184022573827E-2</v>
      </c>
      <c r="AG22" s="1726">
        <v>2.2168836397245231E-2</v>
      </c>
      <c r="AH22" s="1726">
        <v>2.8629317304927598E-2</v>
      </c>
      <c r="AI22" s="1726">
        <v>2.8196490746310279E-2</v>
      </c>
      <c r="AJ22" s="1726">
        <v>3.1926112310129477E-2</v>
      </c>
      <c r="AK22" s="1726">
        <v>3.2440100519578331E-2</v>
      </c>
      <c r="AL22" s="1726">
        <v>1.975537229646375E-2</v>
      </c>
      <c r="AM22" s="1726"/>
    </row>
    <row r="23" spans="1:39" ht="15.75" customHeight="1" x14ac:dyDescent="0.25">
      <c r="A23" s="3"/>
      <c r="B23" s="3" t="s">
        <v>1676</v>
      </c>
      <c r="C23" s="3" t="s">
        <v>1672</v>
      </c>
      <c r="D23" s="3" t="s">
        <v>1674</v>
      </c>
      <c r="E23" s="3">
        <v>1300</v>
      </c>
      <c r="F23" s="1726">
        <v>0</v>
      </c>
      <c r="G23" s="1726">
        <v>0</v>
      </c>
      <c r="H23" s="1726">
        <v>0</v>
      </c>
      <c r="I23" s="1726">
        <v>0</v>
      </c>
      <c r="J23" s="1726">
        <v>1.222873263624181E-2</v>
      </c>
      <c r="K23" s="1726">
        <v>0.13197604969973659</v>
      </c>
      <c r="L23" s="1726">
        <v>0.15222651599904941</v>
      </c>
      <c r="M23" s="1726">
        <v>0.16412746947062409</v>
      </c>
      <c r="N23" s="1726">
        <v>0.16401129709142079</v>
      </c>
      <c r="O23" s="1726">
        <v>0.16914019928520899</v>
      </c>
      <c r="P23" s="1726">
        <v>0.1717795795987524</v>
      </c>
      <c r="Q23" s="1726">
        <v>0.16325329296739999</v>
      </c>
      <c r="R23" s="1726">
        <v>0.15334835742854641</v>
      </c>
      <c r="S23" s="1726">
        <v>0.14300346441334841</v>
      </c>
      <c r="T23" s="1726">
        <v>0.13129686926390791</v>
      </c>
      <c r="U23" s="1726">
        <v>0.1192059926181875</v>
      </c>
      <c r="V23" s="1726">
        <v>0.1287991576377196</v>
      </c>
      <c r="W23" s="1726">
        <v>0.1393822644522251</v>
      </c>
      <c r="X23" s="1726">
        <v>0.1489015613021788</v>
      </c>
      <c r="Y23" s="1726">
        <v>0.16524918594278379</v>
      </c>
      <c r="Z23" s="1726">
        <v>0.16121869065066899</v>
      </c>
      <c r="AA23" s="1726">
        <v>0.17243090704340541</v>
      </c>
      <c r="AB23" s="1726">
        <v>0.18256598943272859</v>
      </c>
      <c r="AC23" s="1726">
        <v>0.24235495711430399</v>
      </c>
      <c r="AD23" s="1726">
        <v>0.28728773716654388</v>
      </c>
      <c r="AE23" s="1726">
        <v>0.28008391855201847</v>
      </c>
      <c r="AF23" s="1726">
        <v>0.2362523918154053</v>
      </c>
      <c r="AG23" s="1726">
        <v>0.1853181969290654</v>
      </c>
      <c r="AH23" s="1726">
        <v>0.1791298630823423</v>
      </c>
      <c r="AI23" s="1726">
        <v>0.1775373336035154</v>
      </c>
      <c r="AJ23" s="1726">
        <v>0.20229140631843751</v>
      </c>
      <c r="AK23" s="1726">
        <v>0.20684833898446839</v>
      </c>
      <c r="AL23" s="1726">
        <v>0.211239346129798</v>
      </c>
      <c r="AM23" s="1726"/>
    </row>
    <row r="24" spans="1:39" ht="15.75" customHeight="1" x14ac:dyDescent="0.25">
      <c r="A24" s="3"/>
      <c r="B24" s="3" t="s">
        <v>1671</v>
      </c>
      <c r="C24" s="3" t="s">
        <v>1672</v>
      </c>
      <c r="D24" s="3" t="s">
        <v>1674</v>
      </c>
      <c r="E24" s="3">
        <v>1300</v>
      </c>
      <c r="F24" s="1726">
        <v>7.3244025391447861E-8</v>
      </c>
      <c r="G24" s="1726">
        <v>1.8041422594940989E-7</v>
      </c>
      <c r="H24" s="1726">
        <v>1.7305468372907699E-2</v>
      </c>
      <c r="I24" s="1726">
        <v>7.4925704686498354E-2</v>
      </c>
      <c r="J24" s="1726">
        <v>0.18214369648970391</v>
      </c>
      <c r="K24" s="1726">
        <v>0.28846385509273298</v>
      </c>
      <c r="L24" s="1726">
        <v>0.41808160418705281</v>
      </c>
      <c r="M24" s="1726">
        <v>0.55318848799204057</v>
      </c>
      <c r="N24" s="1726">
        <v>0.64919731239558043</v>
      </c>
      <c r="O24" s="1726">
        <v>0.74618482084339144</v>
      </c>
      <c r="P24" s="1726">
        <v>0.83848119982811664</v>
      </c>
      <c r="Q24" s="1726">
        <v>0.93108188460690711</v>
      </c>
      <c r="R24" s="1726">
        <v>0.97507844714428238</v>
      </c>
      <c r="S24" s="1726">
        <v>1.007503342012952</v>
      </c>
      <c r="T24" s="1726">
        <v>1.0436906705291049</v>
      </c>
      <c r="U24" s="1726">
        <v>1.067829337330426</v>
      </c>
      <c r="V24" s="1726">
        <v>1.0892686279706909</v>
      </c>
      <c r="W24" s="1726">
        <v>1.1057765409659921</v>
      </c>
      <c r="X24" s="1726">
        <v>1.1283151092445349</v>
      </c>
      <c r="Y24" s="1726">
        <v>1.109075708793021</v>
      </c>
      <c r="Z24" s="1726">
        <v>0.92797689062879785</v>
      </c>
      <c r="AA24" s="1726">
        <v>0.85749332780679755</v>
      </c>
      <c r="AB24" s="1726">
        <v>0.79206010936168336</v>
      </c>
      <c r="AC24" s="1726">
        <v>0.90959075700779468</v>
      </c>
      <c r="AD24" s="1726">
        <v>0.97963122701388372</v>
      </c>
      <c r="AE24" s="1726">
        <v>0.87464999343577809</v>
      </c>
      <c r="AF24" s="1726">
        <v>0.77006584444478243</v>
      </c>
      <c r="AG24" s="1726">
        <v>0.62989015503701173</v>
      </c>
      <c r="AH24" s="1726">
        <v>0.67060516400370496</v>
      </c>
      <c r="AI24" s="1726">
        <v>0.62800888337323146</v>
      </c>
      <c r="AJ24" s="1726">
        <v>0.67523393384518882</v>
      </c>
      <c r="AK24" s="1726">
        <v>0.65433657486838559</v>
      </c>
      <c r="AL24" s="1726">
        <v>0.62706311493157862</v>
      </c>
      <c r="AM24" s="1726"/>
    </row>
    <row r="25" spans="1:39" ht="15.75" customHeight="1" x14ac:dyDescent="0.25">
      <c r="A25" s="3"/>
      <c r="B25" s="3" t="s">
        <v>1671</v>
      </c>
      <c r="C25" s="3" t="s">
        <v>1672</v>
      </c>
      <c r="D25" s="3" t="s">
        <v>1677</v>
      </c>
      <c r="E25" s="3">
        <v>4800</v>
      </c>
      <c r="F25" s="1726">
        <v>3.7240846201553312E-6</v>
      </c>
      <c r="G25" s="1726">
        <v>9.1731419801768085E-6</v>
      </c>
      <c r="H25" s="1726">
        <v>1.7587910456692571E-5</v>
      </c>
      <c r="I25" s="1726">
        <v>1.318694796414364E-3</v>
      </c>
      <c r="J25" s="1726">
        <v>3.6741288239772992E-3</v>
      </c>
      <c r="K25" s="1726">
        <v>9.1767881134462714E-3</v>
      </c>
      <c r="L25" s="1726">
        <v>1.7068477805663181E-2</v>
      </c>
      <c r="M25" s="1726">
        <v>2.8260174203529932E-2</v>
      </c>
      <c r="N25" s="1726">
        <v>4.0974398710055072E-2</v>
      </c>
      <c r="O25" s="1726">
        <v>5.8511730201415091E-2</v>
      </c>
      <c r="P25" s="1726">
        <v>7.2150615314809471E-2</v>
      </c>
      <c r="Q25" s="1726">
        <v>8.9370065998305867E-2</v>
      </c>
      <c r="R25" s="1726">
        <v>0.1087828117007227</v>
      </c>
      <c r="S25" s="1726">
        <v>0.1288072809836224</v>
      </c>
      <c r="T25" s="1726">
        <v>0.1472520743030476</v>
      </c>
      <c r="U25" s="1726">
        <v>0.17825234594206199</v>
      </c>
      <c r="V25" s="1726">
        <v>0.2118619930356147</v>
      </c>
      <c r="W25" s="1726">
        <v>0.2496507682504136</v>
      </c>
      <c r="X25" s="1726">
        <v>0.29254300276961481</v>
      </c>
      <c r="Y25" s="1726">
        <v>0.32544677330981392</v>
      </c>
      <c r="Z25" s="1726">
        <v>0.33349639492362038</v>
      </c>
      <c r="AA25" s="1726">
        <v>0.41388764324358202</v>
      </c>
      <c r="AB25" s="1726">
        <v>0.49996887401693491</v>
      </c>
      <c r="AC25" s="1726">
        <v>0.56678410628142217</v>
      </c>
      <c r="AD25" s="1726">
        <v>0.65334285974531225</v>
      </c>
      <c r="AE25" s="1726">
        <v>0.65542007120561996</v>
      </c>
      <c r="AF25" s="1726">
        <v>0.6741416043585654</v>
      </c>
      <c r="AG25" s="1726">
        <v>0.50404953133319441</v>
      </c>
      <c r="AH25" s="1726">
        <v>0.632093783017319</v>
      </c>
      <c r="AI25" s="1726">
        <v>0.55417967019470238</v>
      </c>
      <c r="AJ25" s="1726">
        <v>0.60943851858890463</v>
      </c>
      <c r="AK25" s="1726">
        <v>0.61154888168151578</v>
      </c>
      <c r="AL25" s="1726">
        <v>0.60870672771026657</v>
      </c>
      <c r="AM25" s="1726"/>
    </row>
    <row r="26" spans="1:39" ht="15.75" customHeight="1" x14ac:dyDescent="0.25">
      <c r="A26" s="3"/>
      <c r="B26" s="3" t="s">
        <v>1668</v>
      </c>
      <c r="C26" s="3" t="s">
        <v>1672</v>
      </c>
      <c r="D26" s="3" t="s">
        <v>1678</v>
      </c>
      <c r="E26" s="3">
        <v>12400</v>
      </c>
      <c r="F26" s="1726">
        <v>0</v>
      </c>
      <c r="G26" s="1726">
        <v>0</v>
      </c>
      <c r="H26" s="1726">
        <v>0</v>
      </c>
      <c r="I26" s="1726">
        <v>0</v>
      </c>
      <c r="J26" s="1726">
        <v>0</v>
      </c>
      <c r="K26" s="1726">
        <v>9.3036146234324768E-6</v>
      </c>
      <c r="L26" s="1726">
        <v>2.0863174107854798E-5</v>
      </c>
      <c r="M26" s="1726">
        <v>3.9285248301842602E-5</v>
      </c>
      <c r="N26" s="1726">
        <v>5.762449576632511E-5</v>
      </c>
      <c r="O26" s="1726">
        <v>8.2822795964448826E-5</v>
      </c>
      <c r="P26" s="1726">
        <v>1.080885242557396E-4</v>
      </c>
      <c r="Q26" s="1726">
        <v>1.313657066049777E-4</v>
      </c>
      <c r="R26" s="1726">
        <v>1.5256283657628139E-4</v>
      </c>
      <c r="S26" s="1726">
        <v>1.6903747560248619E-4</v>
      </c>
      <c r="T26" s="1726">
        <v>1.852557722608108E-4</v>
      </c>
      <c r="U26" s="1726">
        <v>2.0359600424150949E-4</v>
      </c>
      <c r="V26" s="1726">
        <v>2.1908588182021951E-4</v>
      </c>
      <c r="W26" s="1726">
        <v>2.3642555806566921E-4</v>
      </c>
      <c r="X26" s="1726">
        <v>2.5156468733034262E-4</v>
      </c>
      <c r="Y26" s="1726">
        <v>2.6969387346895552E-4</v>
      </c>
      <c r="Z26" s="1726">
        <v>2.9085115325012397E-4</v>
      </c>
      <c r="AA26" s="1726">
        <v>3.0973479855850972E-4</v>
      </c>
      <c r="AB26" s="1726">
        <v>3.330461144484584E-4</v>
      </c>
      <c r="AC26" s="1726">
        <v>3.5354917845680422E-4</v>
      </c>
      <c r="AD26" s="1726">
        <v>3.7605786330928268E-4</v>
      </c>
      <c r="AE26" s="1726">
        <v>4.0035265374947169E-4</v>
      </c>
      <c r="AF26" s="1726">
        <v>4.2387287872683359E-4</v>
      </c>
      <c r="AG26" s="1726">
        <v>4.5009971253825049E-4</v>
      </c>
      <c r="AH26" s="1726">
        <v>4.7619198320438021E-4</v>
      </c>
      <c r="AI26" s="1726">
        <v>5.0446574040930326E-4</v>
      </c>
      <c r="AJ26" s="1726">
        <v>5.3214126222195246E-4</v>
      </c>
      <c r="AK26" s="1726">
        <v>5.5199864253537782E-4</v>
      </c>
      <c r="AL26" s="1726">
        <v>5.6954536712445038E-4</v>
      </c>
      <c r="AM26" s="1726"/>
    </row>
    <row r="27" spans="1:39" ht="15.75" customHeight="1" x14ac:dyDescent="0.25">
      <c r="A27" s="3"/>
      <c r="B27" s="3" t="s">
        <v>1668</v>
      </c>
      <c r="C27" s="3" t="s">
        <v>1672</v>
      </c>
      <c r="D27" s="3" t="s">
        <v>1679</v>
      </c>
      <c r="E27" s="3">
        <v>8060</v>
      </c>
      <c r="F27" s="1726">
        <v>0</v>
      </c>
      <c r="G27" s="1726">
        <v>0</v>
      </c>
      <c r="H27" s="1726">
        <v>0</v>
      </c>
      <c r="I27" s="1726">
        <v>0</v>
      </c>
      <c r="J27" s="1726">
        <v>0</v>
      </c>
      <c r="K27" s="1726">
        <v>0</v>
      </c>
      <c r="L27" s="1726">
        <v>0</v>
      </c>
      <c r="M27" s="1726">
        <v>1.9677287605305281E-4</v>
      </c>
      <c r="N27" s="1726">
        <v>5.9929475596978113E-4</v>
      </c>
      <c r="O27" s="1726">
        <v>1.22025586054288E-3</v>
      </c>
      <c r="P27" s="1726">
        <v>1.859582568365767E-3</v>
      </c>
      <c r="Q27" s="1726">
        <v>2.5241805291070498E-3</v>
      </c>
      <c r="R27" s="1726">
        <v>3.215377358751628E-3</v>
      </c>
      <c r="S27" s="1726">
        <v>3.7282025697778481E-3</v>
      </c>
      <c r="T27" s="1726">
        <v>4.0489964724753462E-3</v>
      </c>
      <c r="U27" s="1726">
        <v>4.1671243527226683E-3</v>
      </c>
      <c r="V27" s="1726">
        <v>4.2781707301546229E-3</v>
      </c>
      <c r="W27" s="1726">
        <v>4.3864974899368312E-3</v>
      </c>
      <c r="X27" s="1726">
        <v>4.5011783418507298E-3</v>
      </c>
      <c r="Y27" s="1726">
        <v>4.6335921557397212E-3</v>
      </c>
      <c r="Z27" s="1726">
        <v>4.7814097461071556E-3</v>
      </c>
      <c r="AA27" s="1726">
        <v>4.9347636405894114E-3</v>
      </c>
      <c r="AB27" s="1726">
        <v>5.0880258808705184E-3</v>
      </c>
      <c r="AC27" s="1726">
        <v>5.2378081210986936E-3</v>
      </c>
      <c r="AD27" s="1726">
        <v>5.3880607579938232E-3</v>
      </c>
      <c r="AE27" s="1726">
        <v>5.5376779066626941E-3</v>
      </c>
      <c r="AF27" s="1726">
        <v>5.6821754613843372E-3</v>
      </c>
      <c r="AG27" s="1726">
        <v>5.8379978623995356E-3</v>
      </c>
      <c r="AH27" s="1726">
        <v>5.9974112703719273E-3</v>
      </c>
      <c r="AI27" s="1726">
        <v>6.1625127656323034E-3</v>
      </c>
      <c r="AJ27" s="1726">
        <v>6.408648020849398E-3</v>
      </c>
      <c r="AK27" s="1726">
        <v>6.5918218060454052E-3</v>
      </c>
      <c r="AL27" s="1726">
        <v>6.7551257288027454E-3</v>
      </c>
      <c r="AM27" s="1726"/>
    </row>
    <row r="28" spans="1:39" ht="15.75" customHeight="1" x14ac:dyDescent="0.25">
      <c r="A28" s="3"/>
      <c r="B28" s="3" t="s">
        <v>1671</v>
      </c>
      <c r="C28" s="3" t="s">
        <v>1672</v>
      </c>
      <c r="D28" s="3" t="s">
        <v>1679</v>
      </c>
      <c r="E28" s="3">
        <v>8060</v>
      </c>
      <c r="F28" s="1726">
        <v>0</v>
      </c>
      <c r="G28" s="1726">
        <v>0</v>
      </c>
      <c r="H28" s="1726">
        <v>0</v>
      </c>
      <c r="I28" s="1726">
        <v>1.094958153041211E-3</v>
      </c>
      <c r="J28" s="1726">
        <v>3.3027020891527839E-3</v>
      </c>
      <c r="K28" s="1726">
        <v>5.4743631396104624E-3</v>
      </c>
      <c r="L28" s="1726">
        <v>6.8121740657830568E-3</v>
      </c>
      <c r="M28" s="1726">
        <v>8.1442941523637569E-3</v>
      </c>
      <c r="N28" s="1726">
        <v>9.3579876144681325E-3</v>
      </c>
      <c r="O28" s="1726">
        <v>1.046189951024263E-2</v>
      </c>
      <c r="P28" s="1726">
        <v>1.14699172404104E-2</v>
      </c>
      <c r="Q28" s="1726">
        <v>1.2396198147395159E-2</v>
      </c>
      <c r="R28" s="1726">
        <v>1.3223615016062191E-2</v>
      </c>
      <c r="S28" s="1726">
        <v>1.392845643145911E-2</v>
      </c>
      <c r="T28" s="1726">
        <v>1.4498116737131051E-2</v>
      </c>
      <c r="U28" s="1726">
        <v>1.493758433619425E-2</v>
      </c>
      <c r="V28" s="1726">
        <v>1.5229928037270831E-2</v>
      </c>
      <c r="W28" s="1726">
        <v>1.5381089327809121E-2</v>
      </c>
      <c r="X28" s="1726">
        <v>1.543303617737592E-2</v>
      </c>
      <c r="Y28" s="1726">
        <v>1.5419061553197361E-2</v>
      </c>
      <c r="Z28" s="1726">
        <v>1.54502651789683E-2</v>
      </c>
      <c r="AA28" s="1726">
        <v>1.54783656167052E-2</v>
      </c>
      <c r="AB28" s="1726">
        <v>1.549548727040936E-2</v>
      </c>
      <c r="AC28" s="1726">
        <v>1.5743269423815161E-2</v>
      </c>
      <c r="AD28" s="1726">
        <v>1.49479561111812E-2</v>
      </c>
      <c r="AE28" s="1726">
        <v>1.2775024408200639E-2</v>
      </c>
      <c r="AF28" s="1726">
        <v>1.139990155130706E-2</v>
      </c>
      <c r="AG28" s="1726">
        <v>1.004472525147862E-2</v>
      </c>
      <c r="AH28" s="1726">
        <v>8.5856280781313535E-3</v>
      </c>
      <c r="AI28" s="1726">
        <v>7.2388571570526916E-3</v>
      </c>
      <c r="AJ28" s="1726">
        <v>6.0805703714151343E-3</v>
      </c>
      <c r="AK28" s="1726">
        <v>4.9549861618991779E-3</v>
      </c>
      <c r="AL28" s="1726">
        <v>3.9247575468000229E-3</v>
      </c>
      <c r="AM28" s="1726"/>
    </row>
    <row r="29" spans="1:39" ht="15.75" customHeight="1" x14ac:dyDescent="0.25">
      <c r="A29" s="3"/>
      <c r="B29" s="3" t="s">
        <v>1671</v>
      </c>
      <c r="C29" s="3" t="s">
        <v>1672</v>
      </c>
      <c r="D29" s="3" t="s">
        <v>1680</v>
      </c>
      <c r="E29" s="3">
        <v>677</v>
      </c>
      <c r="F29" s="1726">
        <v>0</v>
      </c>
      <c r="G29" s="1726">
        <v>0</v>
      </c>
      <c r="H29" s="1726">
        <v>0</v>
      </c>
      <c r="I29" s="1726">
        <v>0</v>
      </c>
      <c r="J29" s="1726">
        <v>0</v>
      </c>
      <c r="K29" s="1726">
        <v>0</v>
      </c>
      <c r="L29" s="1726">
        <v>3.0469016963371702E-6</v>
      </c>
      <c r="M29" s="1726">
        <v>8.6518110182798053E-6</v>
      </c>
      <c r="N29" s="1726">
        <v>1.844517591183488E-5</v>
      </c>
      <c r="O29" s="1726">
        <v>3.5786809654347221E-5</v>
      </c>
      <c r="P29" s="1726">
        <v>1.651955955267768E-4</v>
      </c>
      <c r="Q29" s="1726">
        <v>4.1358921209775327E-4</v>
      </c>
      <c r="R29" s="1726">
        <v>8.1173569754559188E-4</v>
      </c>
      <c r="S29" s="1726">
        <v>1.3502779681188589E-3</v>
      </c>
      <c r="T29" s="1726">
        <v>2.0675901294666841E-3</v>
      </c>
      <c r="U29" s="1726">
        <v>3.080495081027423E-3</v>
      </c>
      <c r="V29" s="1726">
        <v>5.012036933085804E-3</v>
      </c>
      <c r="W29" s="1726">
        <v>7.1895367644093308E-3</v>
      </c>
      <c r="X29" s="1726">
        <v>9.4723877763723281E-3</v>
      </c>
      <c r="Y29" s="1726">
        <v>1.2203848200017841E-2</v>
      </c>
      <c r="Z29" s="1726">
        <v>1.7058702289811462E-2</v>
      </c>
      <c r="AA29" s="1726">
        <v>3.0748644235615671E-2</v>
      </c>
      <c r="AB29" s="1726">
        <v>3.2645818495296318E-2</v>
      </c>
      <c r="AC29" s="1726">
        <v>4.8837634649829952E-2</v>
      </c>
      <c r="AD29" s="1726">
        <v>6.0687208721937488E-2</v>
      </c>
      <c r="AE29" s="1726">
        <v>7.3553730118908534E-2</v>
      </c>
      <c r="AF29" s="1726">
        <v>8.4213997171858915E-2</v>
      </c>
      <c r="AG29" s="1726">
        <v>8.0964713183116183E-2</v>
      </c>
      <c r="AH29" s="1726">
        <v>9.7705256137823007E-2</v>
      </c>
      <c r="AI29" s="1726">
        <v>0.1037901447480068</v>
      </c>
      <c r="AJ29" s="1726">
        <v>0.1381303149748907</v>
      </c>
      <c r="AK29" s="1726">
        <v>0.16864826115628431</v>
      </c>
      <c r="AL29" s="1726">
        <v>0.1885012873241986</v>
      </c>
      <c r="AM29" s="1726"/>
    </row>
    <row r="30" spans="1:39" ht="15.75" customHeight="1" x14ac:dyDescent="0.25">
      <c r="A30" s="3"/>
      <c r="B30" s="3" t="s">
        <v>1668</v>
      </c>
      <c r="C30" s="3" t="s">
        <v>1672</v>
      </c>
      <c r="D30" s="3" t="s">
        <v>1681</v>
      </c>
      <c r="E30" s="3">
        <v>1</v>
      </c>
      <c r="F30" s="1726">
        <v>0</v>
      </c>
      <c r="G30" s="1726">
        <v>0</v>
      </c>
      <c r="H30" s="1726">
        <v>0</v>
      </c>
      <c r="I30" s="1726">
        <v>0</v>
      </c>
      <c r="J30" s="1726">
        <v>6.9927002953494894E-5</v>
      </c>
      <c r="K30" s="1726">
        <v>5.8312655526868715E-4</v>
      </c>
      <c r="L30" s="1726">
        <v>1.4260147754122849E-3</v>
      </c>
      <c r="M30" s="1726">
        <v>2.6570842323925571E-3</v>
      </c>
      <c r="N30" s="1726">
        <v>4.1734448116025847E-3</v>
      </c>
      <c r="O30" s="1726">
        <v>6.2098265177211193E-3</v>
      </c>
      <c r="P30" s="1726">
        <v>8.1490364307879922E-3</v>
      </c>
      <c r="Q30" s="1726">
        <v>9.9471421494280784E-3</v>
      </c>
      <c r="R30" s="1726">
        <v>1.160995916122351E-2</v>
      </c>
      <c r="S30" s="1726">
        <v>1.2933878542943769E-2</v>
      </c>
      <c r="T30" s="1726">
        <v>1.423454371364744E-2</v>
      </c>
      <c r="U30" s="1726">
        <v>1.5499809328405599E-2</v>
      </c>
      <c r="V30" s="1726">
        <v>1.6701755546475371E-2</v>
      </c>
      <c r="W30" s="1726">
        <v>1.78460016274243E-2</v>
      </c>
      <c r="X30" s="1726">
        <v>1.8972191686515379E-2</v>
      </c>
      <c r="Y30" s="1726">
        <v>2.012317740348785E-2</v>
      </c>
      <c r="Z30" s="1726">
        <v>2.132646503976254E-2</v>
      </c>
      <c r="AA30" s="1726">
        <v>2.252497290424995E-2</v>
      </c>
      <c r="AB30" s="1726">
        <v>2.370096370609133E-2</v>
      </c>
      <c r="AC30" s="1726">
        <v>2.4827776291184891E-2</v>
      </c>
      <c r="AD30" s="1726">
        <v>2.591758210629231E-2</v>
      </c>
      <c r="AE30" s="1726">
        <v>2.695280149269972E-2</v>
      </c>
      <c r="AF30" s="1726">
        <v>2.7913106021788311E-2</v>
      </c>
      <c r="AG30" s="1726">
        <v>2.8873744399520441E-2</v>
      </c>
      <c r="AH30" s="1726">
        <v>2.9791962105591738E-2</v>
      </c>
      <c r="AI30" s="1726">
        <v>3.0665212107299149E-2</v>
      </c>
      <c r="AJ30" s="1726">
        <v>3.1563287069441143E-2</v>
      </c>
      <c r="AK30" s="1726">
        <v>3.2139076122816183E-2</v>
      </c>
      <c r="AL30" s="1726">
        <v>3.2596343641711593E-2</v>
      </c>
      <c r="AM30" s="1726"/>
    </row>
    <row r="31" spans="1:39" ht="15.75" customHeight="1" x14ac:dyDescent="0.25">
      <c r="A31" s="3"/>
      <c r="B31" s="3" t="s">
        <v>1670</v>
      </c>
      <c r="C31" s="3" t="s">
        <v>1672</v>
      </c>
      <c r="D31" s="3" t="s">
        <v>1681</v>
      </c>
      <c r="E31" s="3">
        <v>1</v>
      </c>
      <c r="F31" s="1726">
        <v>0</v>
      </c>
      <c r="G31" s="1726">
        <v>0</v>
      </c>
      <c r="H31" s="1726">
        <v>0</v>
      </c>
      <c r="I31" s="1726">
        <v>0</v>
      </c>
      <c r="J31" s="1726">
        <v>0</v>
      </c>
      <c r="K31" s="1726">
        <v>0</v>
      </c>
      <c r="L31" s="1726">
        <v>0</v>
      </c>
      <c r="M31" s="1726">
        <v>0</v>
      </c>
      <c r="N31" s="1726">
        <v>0</v>
      </c>
      <c r="O31" s="1726">
        <v>0</v>
      </c>
      <c r="P31" s="1726">
        <v>0</v>
      </c>
      <c r="Q31" s="1726">
        <v>0</v>
      </c>
      <c r="R31" s="1726">
        <v>0</v>
      </c>
      <c r="S31" s="1726">
        <v>0</v>
      </c>
      <c r="T31" s="1726">
        <v>0</v>
      </c>
      <c r="U31" s="1726">
        <v>0</v>
      </c>
      <c r="V31" s="1726">
        <v>0</v>
      </c>
      <c r="W31" s="1726">
        <v>0</v>
      </c>
      <c r="X31" s="1726">
        <v>0</v>
      </c>
      <c r="Y31" s="1726">
        <v>0</v>
      </c>
      <c r="Z31" s="1726">
        <v>0</v>
      </c>
      <c r="AA31" s="1726">
        <v>0</v>
      </c>
      <c r="AB31" s="1726">
        <v>0</v>
      </c>
      <c r="AC31" s="1726">
        <v>0</v>
      </c>
      <c r="AD31" s="1726">
        <v>0</v>
      </c>
      <c r="AE31" s="1726">
        <v>0</v>
      </c>
      <c r="AF31" s="1726">
        <v>0</v>
      </c>
      <c r="AG31" s="1726">
        <v>4.9187949605383671E-6</v>
      </c>
      <c r="AH31" s="1726">
        <v>1.134467053074122E-5</v>
      </c>
      <c r="AI31" s="1726">
        <v>1.9157730483097699E-5</v>
      </c>
      <c r="AJ31" s="1726">
        <v>2.882333606150492E-5</v>
      </c>
      <c r="AK31" s="1726">
        <v>3.9761083238691162E-5</v>
      </c>
      <c r="AL31" s="1726">
        <v>4.5162144170280212E-5</v>
      </c>
      <c r="AM31" s="1726"/>
    </row>
    <row r="32" spans="1:39" ht="15.75" customHeight="1" x14ac:dyDescent="0.25">
      <c r="A32" s="3"/>
      <c r="B32" s="3" t="s">
        <v>1670</v>
      </c>
      <c r="C32" s="3" t="s">
        <v>1672</v>
      </c>
      <c r="D32" s="3" t="s">
        <v>1681</v>
      </c>
      <c r="E32" s="3">
        <v>1</v>
      </c>
      <c r="F32" s="1726">
        <v>0</v>
      </c>
      <c r="G32" s="1726">
        <v>0</v>
      </c>
      <c r="H32" s="1726">
        <v>0</v>
      </c>
      <c r="I32" s="1726">
        <v>0</v>
      </c>
      <c r="J32" s="1726">
        <v>0</v>
      </c>
      <c r="K32" s="1726">
        <v>0</v>
      </c>
      <c r="L32" s="1726">
        <v>0</v>
      </c>
      <c r="M32" s="1726">
        <v>0</v>
      </c>
      <c r="N32" s="1726">
        <v>0</v>
      </c>
      <c r="O32" s="1726">
        <v>0</v>
      </c>
      <c r="P32" s="1726">
        <v>0</v>
      </c>
      <c r="Q32" s="1726">
        <v>0</v>
      </c>
      <c r="R32" s="1726">
        <v>0</v>
      </c>
      <c r="S32" s="1726">
        <v>0</v>
      </c>
      <c r="T32" s="1726">
        <v>0</v>
      </c>
      <c r="U32" s="1726">
        <v>0</v>
      </c>
      <c r="V32" s="1726">
        <v>0</v>
      </c>
      <c r="W32" s="1726">
        <v>0</v>
      </c>
      <c r="X32" s="1726">
        <v>0</v>
      </c>
      <c r="Y32" s="1726">
        <v>0</v>
      </c>
      <c r="Z32" s="1726">
        <v>0</v>
      </c>
      <c r="AA32" s="1726">
        <v>0</v>
      </c>
      <c r="AB32" s="1726">
        <v>0</v>
      </c>
      <c r="AC32" s="1726">
        <v>0</v>
      </c>
      <c r="AD32" s="1726">
        <v>0</v>
      </c>
      <c r="AE32" s="1726">
        <v>3.4795626957212149E-7</v>
      </c>
      <c r="AF32" s="1726">
        <v>2.9998599546731291E-6</v>
      </c>
      <c r="AG32" s="1726">
        <v>8.4622852438765243E-6</v>
      </c>
      <c r="AH32" s="1726">
        <v>1.3635658689567821E-5</v>
      </c>
      <c r="AI32" s="1726">
        <v>1.984696510166646E-5</v>
      </c>
      <c r="AJ32" s="1726">
        <v>2.836877264077815E-5</v>
      </c>
      <c r="AK32" s="1726">
        <v>3.3408352926787908E-5</v>
      </c>
      <c r="AL32" s="1726">
        <v>3.7369598252780032E-5</v>
      </c>
      <c r="AM32" s="1726"/>
    </row>
    <row r="33" spans="1:39" ht="15.75" customHeight="1" x14ac:dyDescent="0.25">
      <c r="A33" s="3"/>
      <c r="B33" s="3" t="s">
        <v>1670</v>
      </c>
      <c r="C33" s="3" t="s">
        <v>1672</v>
      </c>
      <c r="D33" s="3" t="s">
        <v>1681</v>
      </c>
      <c r="E33" s="3">
        <v>1</v>
      </c>
      <c r="F33" s="1726">
        <v>1.247233335978252E-4</v>
      </c>
      <c r="G33" s="1726">
        <v>1.9717701008844989E-4</v>
      </c>
      <c r="H33" s="1726">
        <v>2.7588013366345129E-4</v>
      </c>
      <c r="I33" s="1726">
        <v>3.6106339589210849E-4</v>
      </c>
      <c r="J33" s="1726">
        <v>3.8887763135033132E-4</v>
      </c>
      <c r="K33" s="1726">
        <v>7.0829280963418631E-4</v>
      </c>
      <c r="L33" s="1726">
        <v>1.134207391881062E-3</v>
      </c>
      <c r="M33" s="1726">
        <v>1.573995900315812E-3</v>
      </c>
      <c r="N33" s="1726">
        <v>2.028986006981899E-3</v>
      </c>
      <c r="O33" s="1726">
        <v>2.500597210496796E-3</v>
      </c>
      <c r="P33" s="1726">
        <v>2.674604537591573E-3</v>
      </c>
      <c r="Q33" s="1726">
        <v>2.7549730508543199E-3</v>
      </c>
      <c r="R33" s="1726">
        <v>2.8395959287016862E-3</v>
      </c>
      <c r="S33" s="1726">
        <v>2.9225967022920448E-3</v>
      </c>
      <c r="T33" s="1726">
        <v>3.002376059109935E-3</v>
      </c>
      <c r="U33" s="1726">
        <v>3.014141448079443E-3</v>
      </c>
      <c r="V33" s="1726">
        <v>3.0132729980100899E-3</v>
      </c>
      <c r="W33" s="1726">
        <v>3.0020573951777801E-3</v>
      </c>
      <c r="X33" s="1726">
        <v>2.9877839948934618E-3</v>
      </c>
      <c r="Y33" s="1726">
        <v>3.2291845336988329E-3</v>
      </c>
      <c r="Z33" s="1726">
        <v>3.4898536918406822E-3</v>
      </c>
      <c r="AA33" s="1726">
        <v>3.5635077387002E-3</v>
      </c>
      <c r="AB33" s="1726">
        <v>3.631456664281755E-3</v>
      </c>
      <c r="AC33" s="1726">
        <v>3.6907112787227872E-3</v>
      </c>
      <c r="AD33" s="1726">
        <v>3.7486785172294928E-3</v>
      </c>
      <c r="AE33" s="1726">
        <v>3.8036287970288122E-3</v>
      </c>
      <c r="AF33" s="1726">
        <v>3.8538017103202562E-3</v>
      </c>
      <c r="AG33" s="1726">
        <v>3.9104194446443578E-3</v>
      </c>
      <c r="AH33" s="1726">
        <v>3.9682822534737342E-3</v>
      </c>
      <c r="AI33" s="1726">
        <v>4.0277338665856326E-3</v>
      </c>
      <c r="AJ33" s="1726">
        <v>4.137621911827853E-3</v>
      </c>
      <c r="AK33" s="1726">
        <v>4.2051292642641914E-3</v>
      </c>
      <c r="AL33" s="1726">
        <v>4.2573179486642279E-3</v>
      </c>
      <c r="AM33" s="1726"/>
    </row>
    <row r="34" spans="1:39" ht="15.75" customHeight="1" x14ac:dyDescent="0.25">
      <c r="A34" s="3"/>
      <c r="B34" s="3" t="s">
        <v>1670</v>
      </c>
      <c r="C34" s="3" t="s">
        <v>1672</v>
      </c>
      <c r="D34" s="3" t="s">
        <v>1681</v>
      </c>
      <c r="E34" s="3">
        <v>1</v>
      </c>
      <c r="F34" s="1726">
        <v>0</v>
      </c>
      <c r="G34" s="1726">
        <v>0</v>
      </c>
      <c r="H34" s="1726">
        <v>0</v>
      </c>
      <c r="I34" s="1726">
        <v>0</v>
      </c>
      <c r="J34" s="1726">
        <v>0</v>
      </c>
      <c r="K34" s="1726">
        <v>0</v>
      </c>
      <c r="L34" s="1726">
        <v>0</v>
      </c>
      <c r="M34" s="1726">
        <v>0</v>
      </c>
      <c r="N34" s="1726">
        <v>0</v>
      </c>
      <c r="O34" s="1726">
        <v>0</v>
      </c>
      <c r="P34" s="1726">
        <v>0</v>
      </c>
      <c r="Q34" s="1726">
        <v>0</v>
      </c>
      <c r="R34" s="1726">
        <v>0</v>
      </c>
      <c r="S34" s="1726">
        <v>0</v>
      </c>
      <c r="T34" s="1726">
        <v>0</v>
      </c>
      <c r="U34" s="1726">
        <v>0</v>
      </c>
      <c r="V34" s="1726">
        <v>0</v>
      </c>
      <c r="W34" s="1726">
        <v>0</v>
      </c>
      <c r="X34" s="1726">
        <v>0</v>
      </c>
      <c r="Y34" s="1726">
        <v>0</v>
      </c>
      <c r="Z34" s="1726">
        <v>0</v>
      </c>
      <c r="AA34" s="1726">
        <v>0</v>
      </c>
      <c r="AB34" s="1726">
        <v>0</v>
      </c>
      <c r="AC34" s="1726">
        <v>0</v>
      </c>
      <c r="AD34" s="1726">
        <v>0</v>
      </c>
      <c r="AE34" s="1726">
        <v>0</v>
      </c>
      <c r="AF34" s="1726">
        <v>1.3101575464601649E-5</v>
      </c>
      <c r="AG34" s="1726">
        <v>2.9165918730270622E-5</v>
      </c>
      <c r="AH34" s="1726">
        <v>4.873451894469435E-5</v>
      </c>
      <c r="AI34" s="1726">
        <v>7.2264005822099514E-5</v>
      </c>
      <c r="AJ34" s="1726">
        <v>1.0163783915035379E-4</v>
      </c>
      <c r="AK34" s="1726">
        <v>1.166726243045625E-4</v>
      </c>
      <c r="AL34" s="1726">
        <v>1.3209942724156081E-4</v>
      </c>
      <c r="AM34" s="1726"/>
    </row>
    <row r="35" spans="1:39" ht="15.75" customHeight="1" x14ac:dyDescent="0.25">
      <c r="A35" s="3"/>
      <c r="B35" s="3" t="s">
        <v>1670</v>
      </c>
      <c r="C35" s="3" t="s">
        <v>1672</v>
      </c>
      <c r="D35" s="3" t="s">
        <v>1681</v>
      </c>
      <c r="E35" s="3">
        <v>1</v>
      </c>
      <c r="F35" s="1726">
        <v>0</v>
      </c>
      <c r="G35" s="1726">
        <v>0</v>
      </c>
      <c r="H35" s="1726">
        <v>0</v>
      </c>
      <c r="I35" s="1726">
        <v>0</v>
      </c>
      <c r="J35" s="1726">
        <v>0</v>
      </c>
      <c r="K35" s="1726">
        <v>0</v>
      </c>
      <c r="L35" s="1726">
        <v>0</v>
      </c>
      <c r="M35" s="1726">
        <v>0</v>
      </c>
      <c r="N35" s="1726">
        <v>0</v>
      </c>
      <c r="O35" s="1726">
        <v>0</v>
      </c>
      <c r="P35" s="1726">
        <v>0</v>
      </c>
      <c r="Q35" s="1726">
        <v>0</v>
      </c>
      <c r="R35" s="1726">
        <v>1.7077087743705959E-3</v>
      </c>
      <c r="S35" s="1726">
        <v>3.713565197960695E-3</v>
      </c>
      <c r="T35" s="1726">
        <v>4.179280302189432E-3</v>
      </c>
      <c r="U35" s="1726">
        <v>4.6591121751991434E-3</v>
      </c>
      <c r="V35" s="1726">
        <v>5.1455201124543746E-3</v>
      </c>
      <c r="W35" s="1726">
        <v>5.6404105734369284E-3</v>
      </c>
      <c r="X35" s="1726">
        <v>6.1574082226982189E-3</v>
      </c>
      <c r="Y35" s="1726">
        <v>6.7123732527916528E-3</v>
      </c>
      <c r="Z35" s="1726">
        <v>7.3082106297578248E-3</v>
      </c>
      <c r="AA35" s="1726">
        <v>7.9281830194383521E-3</v>
      </c>
      <c r="AB35" s="1726">
        <v>8.5685049432295077E-3</v>
      </c>
      <c r="AC35" s="1726">
        <v>9.2208239961475771E-3</v>
      </c>
      <c r="AD35" s="1726">
        <v>9.8917047459914312E-3</v>
      </c>
      <c r="AE35" s="1726">
        <v>1.057619178901425E-2</v>
      </c>
      <c r="AF35" s="1726">
        <v>1.016017850385739E-2</v>
      </c>
      <c r="AG35" s="1726">
        <v>9.5721053373326297E-3</v>
      </c>
      <c r="AH35" s="1726">
        <v>8.8541753035473719E-3</v>
      </c>
      <c r="AI35" s="1726">
        <v>7.8486160733754994E-3</v>
      </c>
      <c r="AJ35" s="1726">
        <v>6.601339167796534E-3</v>
      </c>
      <c r="AK35" s="1726">
        <v>6.5930091145092297E-3</v>
      </c>
      <c r="AL35" s="1726">
        <v>6.5586678031707632E-3</v>
      </c>
      <c r="AM35" s="1726"/>
    </row>
    <row r="36" spans="1:39" ht="15.75" customHeight="1" x14ac:dyDescent="0.25">
      <c r="A36" s="3"/>
      <c r="B36" s="3" t="s">
        <v>1670</v>
      </c>
      <c r="C36" s="3" t="s">
        <v>1672</v>
      </c>
      <c r="D36" s="3" t="s">
        <v>1681</v>
      </c>
      <c r="E36" s="3">
        <v>1</v>
      </c>
      <c r="F36" s="1726">
        <v>0</v>
      </c>
      <c r="G36" s="1726">
        <v>0</v>
      </c>
      <c r="H36" s="1726">
        <v>0</v>
      </c>
      <c r="I36" s="1726">
        <v>0</v>
      </c>
      <c r="J36" s="1726">
        <v>0</v>
      </c>
      <c r="K36" s="1726">
        <v>0</v>
      </c>
      <c r="L36" s="1726">
        <v>0</v>
      </c>
      <c r="M36" s="1726">
        <v>0</v>
      </c>
      <c r="N36" s="1726">
        <v>0</v>
      </c>
      <c r="O36" s="1726">
        <v>0</v>
      </c>
      <c r="P36" s="1726">
        <v>0</v>
      </c>
      <c r="Q36" s="1726">
        <v>0</v>
      </c>
      <c r="R36" s="1726">
        <v>2.7428430160660031E-3</v>
      </c>
      <c r="S36" s="1726">
        <v>5.9645570256476399E-3</v>
      </c>
      <c r="T36" s="1726">
        <v>6.7125671315165641E-3</v>
      </c>
      <c r="U36" s="1726">
        <v>7.4832509398583148E-3</v>
      </c>
      <c r="V36" s="1726">
        <v>8.2644969190805665E-3</v>
      </c>
      <c r="W36" s="1726">
        <v>9.0593671364125432E-3</v>
      </c>
      <c r="X36" s="1726">
        <v>9.8897448992260623E-3</v>
      </c>
      <c r="Y36" s="1726">
        <v>1.078110411679151E-2</v>
      </c>
      <c r="Z36" s="1726">
        <v>1.173811061148795E-2</v>
      </c>
      <c r="AA36" s="1726">
        <v>1.273388164968252E-2</v>
      </c>
      <c r="AB36" s="1726">
        <v>1.376233717035631E-2</v>
      </c>
      <c r="AC36" s="1726">
        <v>1.4810061926120111E-2</v>
      </c>
      <c r="AD36" s="1726">
        <v>1.5887599622792389E-2</v>
      </c>
      <c r="AE36" s="1726">
        <v>1.6986991119585959E-2</v>
      </c>
      <c r="AF36" s="1726">
        <v>1.6318809781580179E-2</v>
      </c>
      <c r="AG36" s="1726">
        <v>1.537427380334656E-2</v>
      </c>
      <c r="AH36" s="1726">
        <v>1.422116771831301E-2</v>
      </c>
      <c r="AI36" s="1726">
        <v>1.260608489323695E-2</v>
      </c>
      <c r="AJ36" s="1726">
        <v>1.0602766294122431E-2</v>
      </c>
      <c r="AK36" s="1726">
        <v>1.0589386946996361E-2</v>
      </c>
      <c r="AL36" s="1726">
        <v>1.053422951770812E-2</v>
      </c>
      <c r="AM36" s="1726"/>
    </row>
    <row r="37" spans="1:39" ht="15.75" customHeight="1" x14ac:dyDescent="0.25">
      <c r="A37" s="3"/>
      <c r="B37" s="3" t="s">
        <v>1670</v>
      </c>
      <c r="C37" s="3" t="s">
        <v>1672</v>
      </c>
      <c r="D37" s="3" t="s">
        <v>1681</v>
      </c>
      <c r="E37" s="3">
        <v>1</v>
      </c>
      <c r="F37" s="1726">
        <v>0</v>
      </c>
      <c r="G37" s="1726">
        <v>0</v>
      </c>
      <c r="H37" s="1726">
        <v>0</v>
      </c>
      <c r="I37" s="1726">
        <v>0</v>
      </c>
      <c r="J37" s="1726">
        <v>0</v>
      </c>
      <c r="K37" s="1726">
        <v>0</v>
      </c>
      <c r="L37" s="1726">
        <v>0</v>
      </c>
      <c r="M37" s="1726">
        <v>0</v>
      </c>
      <c r="N37" s="1726">
        <v>0</v>
      </c>
      <c r="O37" s="1726">
        <v>0</v>
      </c>
      <c r="P37" s="1726">
        <v>0</v>
      </c>
      <c r="Q37" s="1726">
        <v>7.1648841365018316E-4</v>
      </c>
      <c r="R37" s="1726">
        <v>9.2823228395742478E-3</v>
      </c>
      <c r="S37" s="1726">
        <v>1.9540836754311942E-2</v>
      </c>
      <c r="T37" s="1726">
        <v>2.233143670245033E-2</v>
      </c>
      <c r="U37" s="1726">
        <v>2.5188263459625378E-2</v>
      </c>
      <c r="V37" s="1726">
        <v>2.8125503071033751E-2</v>
      </c>
      <c r="W37" s="1726">
        <v>3.1072407602247169E-2</v>
      </c>
      <c r="X37" s="1726">
        <v>3.3848424286055903E-2</v>
      </c>
      <c r="Y37" s="1726">
        <v>3.7038994059294048E-2</v>
      </c>
      <c r="Z37" s="1726">
        <v>4.0858789031735163E-2</v>
      </c>
      <c r="AA37" s="1726">
        <v>4.5026864275097403E-2</v>
      </c>
      <c r="AB37" s="1726">
        <v>4.8976540174728737E-2</v>
      </c>
      <c r="AC37" s="1726">
        <v>5.2899313158654079E-2</v>
      </c>
      <c r="AD37" s="1726">
        <v>5.6954802390384911E-2</v>
      </c>
      <c r="AE37" s="1726">
        <v>7.3259364445124778E-2</v>
      </c>
      <c r="AF37" s="1726">
        <v>8.6693927605397375E-2</v>
      </c>
      <c r="AG37" s="1726">
        <v>0.10228506287868031</v>
      </c>
      <c r="AH37" s="1726">
        <v>0.1077841199083152</v>
      </c>
      <c r="AI37" s="1726">
        <v>0.10876803725713551</v>
      </c>
      <c r="AJ37" s="1726">
        <v>0.1072739927375284</v>
      </c>
      <c r="AK37" s="1726">
        <v>0.11119263570673329</v>
      </c>
      <c r="AL37" s="1726">
        <v>0.1227798102250202</v>
      </c>
      <c r="AM37" s="1726"/>
    </row>
    <row r="38" spans="1:39" ht="15.75" customHeight="1" x14ac:dyDescent="0.25">
      <c r="A38" s="3"/>
      <c r="B38" s="3" t="s">
        <v>1675</v>
      </c>
      <c r="C38" s="3" t="s">
        <v>1672</v>
      </c>
      <c r="D38" s="3" t="s">
        <v>1681</v>
      </c>
      <c r="E38" s="3">
        <v>1</v>
      </c>
      <c r="F38" s="1726">
        <v>0</v>
      </c>
      <c r="G38" s="1726">
        <v>0</v>
      </c>
      <c r="H38" s="1726">
        <v>0</v>
      </c>
      <c r="I38" s="1726">
        <v>0</v>
      </c>
      <c r="J38" s="1726">
        <v>0</v>
      </c>
      <c r="K38" s="1726">
        <v>0</v>
      </c>
      <c r="L38" s="1726">
        <v>0</v>
      </c>
      <c r="M38" s="1726">
        <v>0</v>
      </c>
      <c r="N38" s="1726">
        <v>0</v>
      </c>
      <c r="O38" s="1726">
        <v>0</v>
      </c>
      <c r="P38" s="1726">
        <v>0</v>
      </c>
      <c r="Q38" s="1726">
        <v>0</v>
      </c>
      <c r="R38" s="1726">
        <v>0</v>
      </c>
      <c r="S38" s="1726">
        <v>0</v>
      </c>
      <c r="T38" s="1726">
        <v>0</v>
      </c>
      <c r="U38" s="1726">
        <v>0</v>
      </c>
      <c r="V38" s="1726">
        <v>0</v>
      </c>
      <c r="W38" s="1726">
        <v>1.1007246121578339E-3</v>
      </c>
      <c r="X38" s="1726">
        <v>2.2149772754146489E-3</v>
      </c>
      <c r="Y38" s="1726">
        <v>3.3491290038821149E-3</v>
      </c>
      <c r="Z38" s="1726">
        <v>4.5122837777419791E-3</v>
      </c>
      <c r="AA38" s="1726">
        <v>5.6913676721745462E-3</v>
      </c>
      <c r="AB38" s="1726">
        <v>6.8872102676765983E-3</v>
      </c>
      <c r="AC38" s="1726">
        <v>8.086548770533818E-3</v>
      </c>
      <c r="AD38" s="1726">
        <v>8.1357555704743862E-3</v>
      </c>
      <c r="AE38" s="1726">
        <v>7.6360811401844806E-3</v>
      </c>
      <c r="AF38" s="1726">
        <v>9.3365885751559349E-3</v>
      </c>
      <c r="AG38" s="1726">
        <v>1.1005370618726071E-2</v>
      </c>
      <c r="AH38" s="1726">
        <v>1.25395667853706E-2</v>
      </c>
      <c r="AI38" s="1726">
        <v>1.2679590951652889E-2</v>
      </c>
      <c r="AJ38" s="1726">
        <v>1.2975161055288391E-2</v>
      </c>
      <c r="AK38" s="1726">
        <v>1.3135031015029089E-2</v>
      </c>
      <c r="AL38" s="1726">
        <v>7.947860668286363E-3</v>
      </c>
      <c r="AM38" s="1726"/>
    </row>
    <row r="39" spans="1:39" ht="15.75" customHeight="1" x14ac:dyDescent="0.25">
      <c r="A39" s="3"/>
      <c r="B39" s="3" t="s">
        <v>1676</v>
      </c>
      <c r="C39" s="3" t="s">
        <v>1672</v>
      </c>
      <c r="D39" s="3" t="s">
        <v>1681</v>
      </c>
      <c r="E39" s="3">
        <v>1</v>
      </c>
      <c r="F39" s="1726">
        <v>0</v>
      </c>
      <c r="G39" s="1726">
        <v>0</v>
      </c>
      <c r="H39" s="1726">
        <v>0</v>
      </c>
      <c r="I39" s="1726">
        <v>0</v>
      </c>
      <c r="J39" s="1726">
        <v>0</v>
      </c>
      <c r="K39" s="1726">
        <v>0</v>
      </c>
      <c r="L39" s="1726">
        <v>0</v>
      </c>
      <c r="M39" s="1726">
        <v>0</v>
      </c>
      <c r="N39" s="1726">
        <v>0</v>
      </c>
      <c r="O39" s="1726">
        <v>0</v>
      </c>
      <c r="P39" s="1726">
        <v>0</v>
      </c>
      <c r="Q39" s="1726">
        <v>0</v>
      </c>
      <c r="R39" s="1726">
        <v>0</v>
      </c>
      <c r="S39" s="1726">
        <v>0</v>
      </c>
      <c r="T39" s="1726">
        <v>0</v>
      </c>
      <c r="U39" s="1726">
        <v>0</v>
      </c>
      <c r="V39" s="1726">
        <v>0</v>
      </c>
      <c r="W39" s="1726">
        <v>0</v>
      </c>
      <c r="X39" s="1726">
        <v>0</v>
      </c>
      <c r="Y39" s="1726">
        <v>0</v>
      </c>
      <c r="Z39" s="1726">
        <v>0</v>
      </c>
      <c r="AA39" s="1726">
        <v>0</v>
      </c>
      <c r="AB39" s="1726">
        <v>1.523528526884633E-6</v>
      </c>
      <c r="AC39" s="1726">
        <v>3.2237108793935251E-6</v>
      </c>
      <c r="AD39" s="1726">
        <v>5.0962719585663457E-6</v>
      </c>
      <c r="AE39" s="1726">
        <v>7.1340259977809101E-6</v>
      </c>
      <c r="AF39" s="1726">
        <v>3.0981277435455008E-5</v>
      </c>
      <c r="AG39" s="1726">
        <v>5.3825890558261311E-5</v>
      </c>
      <c r="AH39" s="1726">
        <v>7.7459099645844288E-5</v>
      </c>
      <c r="AI39" s="1726">
        <v>7.8820126649919956E-5</v>
      </c>
      <c r="AJ39" s="1726">
        <v>8.1167198036158033E-5</v>
      </c>
      <c r="AK39" s="1726">
        <v>8.2686298925479829E-5</v>
      </c>
      <c r="AL39" s="1726">
        <v>8.3900525145747193E-5</v>
      </c>
      <c r="AM39" s="1726"/>
    </row>
    <row r="40" spans="1:39" ht="15.75" customHeight="1" x14ac:dyDescent="0.25">
      <c r="A40" s="3"/>
      <c r="B40" s="3" t="s">
        <v>1676</v>
      </c>
      <c r="C40" s="3" t="s">
        <v>1672</v>
      </c>
      <c r="D40" s="3" t="s">
        <v>1681</v>
      </c>
      <c r="E40" s="3">
        <v>1</v>
      </c>
      <c r="F40" s="1726">
        <v>4.3648724486724348E-3</v>
      </c>
      <c r="G40" s="1726">
        <v>9.5683674503027998E-3</v>
      </c>
      <c r="H40" s="1726">
        <v>9.5453743608877092E-3</v>
      </c>
      <c r="I40" s="1726">
        <v>9.5139138736681089E-3</v>
      </c>
      <c r="J40" s="1726">
        <v>1.0107704279922631E-2</v>
      </c>
      <c r="K40" s="1726">
        <v>1.0520308331058889E-2</v>
      </c>
      <c r="L40" s="1726">
        <v>1.2057932046140149E-2</v>
      </c>
      <c r="M40" s="1726">
        <v>1.9444489336563741E-2</v>
      </c>
      <c r="N40" s="1726">
        <v>3.008402199180911E-2</v>
      </c>
      <c r="O40" s="1726">
        <v>3.0885198370937401E-2</v>
      </c>
      <c r="P40" s="1726">
        <v>3.1240976020694079E-2</v>
      </c>
      <c r="Q40" s="1726">
        <v>3.3911006680485682E-2</v>
      </c>
      <c r="R40" s="1726">
        <v>3.6580625513052897E-2</v>
      </c>
      <c r="S40" s="1726">
        <v>3.9440624177236733E-2</v>
      </c>
      <c r="T40" s="1726">
        <v>4.2182533172040071E-2</v>
      </c>
      <c r="U40" s="1726">
        <v>4.5118501889945067E-2</v>
      </c>
      <c r="V40" s="1726">
        <v>4.6050005937018718E-2</v>
      </c>
      <c r="W40" s="1726">
        <v>4.7224581709256683E-2</v>
      </c>
      <c r="X40" s="1726">
        <v>4.7999630120141003E-2</v>
      </c>
      <c r="Y40" s="1726">
        <v>5.178273658692617E-2</v>
      </c>
      <c r="Z40" s="1726">
        <v>5.5729975068369832E-2</v>
      </c>
      <c r="AA40" s="1726">
        <v>5.9524885764521099E-2</v>
      </c>
      <c r="AB40" s="1726">
        <v>6.3288341173936155E-2</v>
      </c>
      <c r="AC40" s="1726">
        <v>6.6954017746373162E-2</v>
      </c>
      <c r="AD40" s="1726">
        <v>7.0565652555116085E-2</v>
      </c>
      <c r="AE40" s="1726">
        <v>7.4085253410499041E-2</v>
      </c>
      <c r="AF40" s="1726">
        <v>7.5274864478494311E-2</v>
      </c>
      <c r="AG40" s="1726">
        <v>7.6589818447135055E-2</v>
      </c>
      <c r="AH40" s="1726">
        <v>7.7927421294727184E-2</v>
      </c>
      <c r="AI40" s="1726">
        <v>7.9296614718906686E-2</v>
      </c>
      <c r="AJ40" s="1726">
        <v>8.1658048068623479E-2</v>
      </c>
      <c r="AK40" s="1726">
        <v>8.3186104558537352E-2</v>
      </c>
      <c r="AL40" s="1726">
        <v>8.4407861900018297E-2</v>
      </c>
      <c r="AM40" s="1726"/>
    </row>
    <row r="41" spans="1:39" ht="15.75" customHeight="1" x14ac:dyDescent="0.25">
      <c r="A41" s="3"/>
      <c r="B41" s="3" t="s">
        <v>1671</v>
      </c>
      <c r="C41" s="3" t="s">
        <v>1672</v>
      </c>
      <c r="D41" s="3" t="s">
        <v>1681</v>
      </c>
      <c r="E41" s="3">
        <v>1</v>
      </c>
      <c r="F41" s="1726">
        <v>0</v>
      </c>
      <c r="G41" s="1726">
        <v>0</v>
      </c>
      <c r="H41" s="1726">
        <v>0</v>
      </c>
      <c r="I41" s="1726">
        <v>0</v>
      </c>
      <c r="J41" s="1726">
        <v>0</v>
      </c>
      <c r="K41" s="1726">
        <v>0</v>
      </c>
      <c r="L41" s="1726">
        <v>0</v>
      </c>
      <c r="M41" s="1726">
        <v>0</v>
      </c>
      <c r="N41" s="1726">
        <v>0</v>
      </c>
      <c r="O41" s="1726">
        <v>0</v>
      </c>
      <c r="P41" s="1726">
        <v>0</v>
      </c>
      <c r="Q41" s="1726">
        <v>0</v>
      </c>
      <c r="R41" s="1726">
        <v>0</v>
      </c>
      <c r="S41" s="1726">
        <v>0</v>
      </c>
      <c r="T41" s="1726">
        <v>0</v>
      </c>
      <c r="U41" s="1726">
        <v>0</v>
      </c>
      <c r="V41" s="1726">
        <v>0</v>
      </c>
      <c r="W41" s="1726">
        <v>0</v>
      </c>
      <c r="X41" s="1726">
        <v>0</v>
      </c>
      <c r="Y41" s="1726">
        <v>0</v>
      </c>
      <c r="Z41" s="1726">
        <v>0</v>
      </c>
      <c r="AA41" s="1726">
        <v>0</v>
      </c>
      <c r="AB41" s="1726">
        <v>0</v>
      </c>
      <c r="AC41" s="1726">
        <v>0</v>
      </c>
      <c r="AD41" s="1726">
        <v>0</v>
      </c>
      <c r="AE41" s="1726">
        <v>0</v>
      </c>
      <c r="AF41" s="1726">
        <v>1.837811649006389E-9</v>
      </c>
      <c r="AG41" s="1726">
        <v>3.3548487860255717E-8</v>
      </c>
      <c r="AH41" s="1726">
        <v>1.5287883946192849E-7</v>
      </c>
      <c r="AI41" s="1726">
        <v>3.4863085126651911E-7</v>
      </c>
      <c r="AJ41" s="1726">
        <v>6.3045809933052166E-7</v>
      </c>
      <c r="AK41" s="1726">
        <v>8.94183351561074E-7</v>
      </c>
      <c r="AL41" s="1726">
        <v>1.157060582292733E-6</v>
      </c>
      <c r="AM41" s="1726"/>
    </row>
    <row r="42" spans="1:39" ht="15.75" customHeight="1" x14ac:dyDescent="0.25">
      <c r="A42" s="3"/>
      <c r="B42" s="3" t="s">
        <v>1671</v>
      </c>
      <c r="C42" s="3" t="s">
        <v>1672</v>
      </c>
      <c r="D42" s="3" t="s">
        <v>1681</v>
      </c>
      <c r="E42" s="3">
        <v>1</v>
      </c>
      <c r="F42" s="1726">
        <v>0</v>
      </c>
      <c r="G42" s="1726">
        <v>0</v>
      </c>
      <c r="H42" s="1726">
        <v>0</v>
      </c>
      <c r="I42" s="1726">
        <v>0</v>
      </c>
      <c r="J42" s="1726">
        <v>0</v>
      </c>
      <c r="K42" s="1726">
        <v>0</v>
      </c>
      <c r="L42" s="1726">
        <v>0</v>
      </c>
      <c r="M42" s="1726">
        <v>0</v>
      </c>
      <c r="N42" s="1726">
        <v>0</v>
      </c>
      <c r="O42" s="1726">
        <v>0</v>
      </c>
      <c r="P42" s="1726">
        <v>0</v>
      </c>
      <c r="Q42" s="1726">
        <v>0</v>
      </c>
      <c r="R42" s="1726">
        <v>0</v>
      </c>
      <c r="S42" s="1726">
        <v>0</v>
      </c>
      <c r="T42" s="1726">
        <v>0</v>
      </c>
      <c r="U42" s="1726">
        <v>0</v>
      </c>
      <c r="V42" s="1726">
        <v>0</v>
      </c>
      <c r="W42" s="1726">
        <v>0</v>
      </c>
      <c r="X42" s="1726">
        <v>0</v>
      </c>
      <c r="Y42" s="1726">
        <v>0</v>
      </c>
      <c r="Z42" s="1726">
        <v>0</v>
      </c>
      <c r="AA42" s="1726">
        <v>0</v>
      </c>
      <c r="AB42" s="1726">
        <v>0</v>
      </c>
      <c r="AC42" s="1726">
        <v>0</v>
      </c>
      <c r="AD42" s="1726">
        <v>0</v>
      </c>
      <c r="AE42" s="1726">
        <v>0</v>
      </c>
      <c r="AF42" s="1726">
        <v>2.8780130423440061E-9</v>
      </c>
      <c r="AG42" s="1726">
        <v>1.329106759491005E-8</v>
      </c>
      <c r="AH42" s="1726">
        <v>1.081855519445896E-7</v>
      </c>
      <c r="AI42" s="1726">
        <v>2.7675743605277213E-7</v>
      </c>
      <c r="AJ42" s="1726">
        <v>5.2428770295947707E-7</v>
      </c>
      <c r="AK42" s="1726">
        <v>8.5171286149556869E-7</v>
      </c>
      <c r="AL42" s="1726">
        <v>1.245244592194182E-6</v>
      </c>
      <c r="AM42" s="1726"/>
    </row>
    <row r="43" spans="1:39" ht="15.75" customHeight="1" x14ac:dyDescent="0.25">
      <c r="A43" s="3"/>
      <c r="B43" s="3" t="s">
        <v>1671</v>
      </c>
      <c r="C43" s="3" t="s">
        <v>1672</v>
      </c>
      <c r="D43" s="3" t="s">
        <v>1681</v>
      </c>
      <c r="E43" s="3">
        <v>1</v>
      </c>
      <c r="F43" s="1726">
        <v>0</v>
      </c>
      <c r="G43" s="1726">
        <v>0</v>
      </c>
      <c r="H43" s="1726">
        <v>0</v>
      </c>
      <c r="I43" s="1726">
        <v>0</v>
      </c>
      <c r="J43" s="1726">
        <v>0</v>
      </c>
      <c r="K43" s="1726">
        <v>0</v>
      </c>
      <c r="L43" s="1726">
        <v>0</v>
      </c>
      <c r="M43" s="1726">
        <v>0</v>
      </c>
      <c r="N43" s="1726">
        <v>0</v>
      </c>
      <c r="O43" s="1726">
        <v>0</v>
      </c>
      <c r="P43" s="1726">
        <v>0</v>
      </c>
      <c r="Q43" s="1726">
        <v>0</v>
      </c>
      <c r="R43" s="1726">
        <v>0</v>
      </c>
      <c r="S43" s="1726">
        <v>0</v>
      </c>
      <c r="T43" s="1726">
        <v>0</v>
      </c>
      <c r="U43" s="1726">
        <v>0</v>
      </c>
      <c r="V43" s="1726">
        <v>0</v>
      </c>
      <c r="W43" s="1726">
        <v>0</v>
      </c>
      <c r="X43" s="1726">
        <v>0</v>
      </c>
      <c r="Y43" s="1726">
        <v>0</v>
      </c>
      <c r="Z43" s="1726">
        <v>0</v>
      </c>
      <c r="AA43" s="1726">
        <v>0</v>
      </c>
      <c r="AB43" s="1726">
        <v>3.5934897776974939E-8</v>
      </c>
      <c r="AC43" s="1726">
        <v>1.081235443123029E-7</v>
      </c>
      <c r="AD43" s="1726">
        <v>2.1728362971499169E-7</v>
      </c>
      <c r="AE43" s="1726">
        <v>3.6382278027371352E-7</v>
      </c>
      <c r="AF43" s="1726">
        <v>2.9783796121195421E-6</v>
      </c>
      <c r="AG43" s="1726">
        <v>8.0795574946641974E-6</v>
      </c>
      <c r="AH43" s="1726">
        <v>1.579157949094636E-5</v>
      </c>
      <c r="AI43" s="1726">
        <v>2.6157024609814709E-5</v>
      </c>
      <c r="AJ43" s="1726">
        <v>3.9695991371043653E-5</v>
      </c>
      <c r="AK43" s="1726">
        <v>5.5681906155286187E-5</v>
      </c>
      <c r="AL43" s="1726">
        <v>7.1690241774407298E-5</v>
      </c>
      <c r="AM43" s="1726"/>
    </row>
    <row r="44" spans="1:39" ht="15.75" customHeight="1" x14ac:dyDescent="0.25">
      <c r="A44" s="3"/>
      <c r="B44" s="3" t="s">
        <v>1671</v>
      </c>
      <c r="C44" s="3" t="s">
        <v>1672</v>
      </c>
      <c r="D44" s="3" t="s">
        <v>1681</v>
      </c>
      <c r="E44" s="3">
        <v>1</v>
      </c>
      <c r="F44" s="1726">
        <v>2.9031034812594149E-4</v>
      </c>
      <c r="G44" s="1726">
        <v>2.975197106017375E-4</v>
      </c>
      <c r="H44" s="1726">
        <v>3.0069812787212409E-4</v>
      </c>
      <c r="I44" s="1726">
        <v>4.0259192689320043E-4</v>
      </c>
      <c r="J44" s="1726">
        <v>4.8785626605673231E-4</v>
      </c>
      <c r="K44" s="1726">
        <v>5.5906053893379094E-4</v>
      </c>
      <c r="L44" s="1726">
        <v>6.0869327819823148E-4</v>
      </c>
      <c r="M44" s="1726">
        <v>6.4399197937944983E-4</v>
      </c>
      <c r="N44" s="1726">
        <v>5.9664645311106163E-4</v>
      </c>
      <c r="O44" s="1726">
        <v>5.4598996820866687E-4</v>
      </c>
      <c r="P44" s="1726">
        <v>4.965886885352341E-4</v>
      </c>
      <c r="Q44" s="1726">
        <v>4.4894016121761591E-4</v>
      </c>
      <c r="R44" s="1726">
        <v>4.019718012339951E-4</v>
      </c>
      <c r="S44" s="1726">
        <v>3.5480494049047669E-4</v>
      </c>
      <c r="T44" s="1726">
        <v>3.066052203031383E-4</v>
      </c>
      <c r="U44" s="1726">
        <v>2.6444229335435311E-4</v>
      </c>
      <c r="V44" s="1726">
        <v>2.2512721406746909E-4</v>
      </c>
      <c r="W44" s="1726">
        <v>1.846163882354533E-4</v>
      </c>
      <c r="X44" s="1726">
        <v>1.496261537615266E-4</v>
      </c>
      <c r="Y44" s="1726">
        <v>1.2706510728246339E-4</v>
      </c>
      <c r="Z44" s="1726">
        <v>1.109045810518742E-4</v>
      </c>
      <c r="AA44" s="1726">
        <v>1.011116372031662E-4</v>
      </c>
      <c r="AB44" s="1726">
        <v>9.4949561573279362E-5</v>
      </c>
      <c r="AC44" s="1726">
        <v>8.6786595895018434E-5</v>
      </c>
      <c r="AD44" s="1726">
        <v>7.8163734143732477E-5</v>
      </c>
      <c r="AE44" s="1726">
        <v>6.802027379099758E-5</v>
      </c>
      <c r="AF44" s="1726">
        <v>5.7444225094985153E-5</v>
      </c>
      <c r="AG44" s="1726">
        <v>4.6441875713221852E-5</v>
      </c>
      <c r="AH44" s="1726">
        <v>3.4686603080358377E-5</v>
      </c>
      <c r="AI44" s="1726">
        <v>2.2091812105766158E-5</v>
      </c>
      <c r="AJ44" s="1726">
        <v>1.13368522331657E-5</v>
      </c>
      <c r="AK44" s="1726">
        <v>4.5970001054348693E-6</v>
      </c>
      <c r="AL44" s="1726">
        <v>3.4404609924016349E-6</v>
      </c>
      <c r="AM44" s="1726"/>
    </row>
    <row r="45" spans="1:39" ht="15.75" customHeight="1" x14ac:dyDescent="0.25">
      <c r="A45" s="3"/>
      <c r="B45" s="3" t="s">
        <v>1671</v>
      </c>
      <c r="C45" s="3" t="s">
        <v>1672</v>
      </c>
      <c r="D45" s="3" t="s">
        <v>1681</v>
      </c>
      <c r="E45" s="3">
        <v>1</v>
      </c>
      <c r="F45" s="1726">
        <v>0</v>
      </c>
      <c r="G45" s="1726">
        <v>0</v>
      </c>
      <c r="H45" s="1726">
        <v>0</v>
      </c>
      <c r="I45" s="1726">
        <v>0</v>
      </c>
      <c r="J45" s="1726">
        <v>0</v>
      </c>
      <c r="K45" s="1726">
        <v>0</v>
      </c>
      <c r="L45" s="1726">
        <v>0</v>
      </c>
      <c r="M45" s="1726">
        <v>0</v>
      </c>
      <c r="N45" s="1726">
        <v>0</v>
      </c>
      <c r="O45" s="1726">
        <v>0</v>
      </c>
      <c r="P45" s="1726">
        <v>0</v>
      </c>
      <c r="Q45" s="1726">
        <v>0</v>
      </c>
      <c r="R45" s="1726">
        <v>0</v>
      </c>
      <c r="S45" s="1726">
        <v>0</v>
      </c>
      <c r="T45" s="1726">
        <v>0</v>
      </c>
      <c r="U45" s="1726">
        <v>0</v>
      </c>
      <c r="V45" s="1726">
        <v>0</v>
      </c>
      <c r="W45" s="1726">
        <v>0</v>
      </c>
      <c r="X45" s="1726">
        <v>0</v>
      </c>
      <c r="Y45" s="1726">
        <v>0</v>
      </c>
      <c r="Z45" s="1726">
        <v>0</v>
      </c>
      <c r="AA45" s="1726">
        <v>0</v>
      </c>
      <c r="AB45" s="1726">
        <v>0</v>
      </c>
      <c r="AC45" s="1726">
        <v>0</v>
      </c>
      <c r="AD45" s="1726">
        <v>0</v>
      </c>
      <c r="AE45" s="1726">
        <v>0</v>
      </c>
      <c r="AF45" s="1726">
        <v>0</v>
      </c>
      <c r="AG45" s="1726">
        <v>8.4905173046988157E-9</v>
      </c>
      <c r="AH45" s="1726">
        <v>1.685686704046971E-7</v>
      </c>
      <c r="AI45" s="1726">
        <v>4.5217038298441959E-7</v>
      </c>
      <c r="AJ45" s="1726">
        <v>8.7586377635774505E-7</v>
      </c>
      <c r="AK45" s="1726">
        <v>1.269677816048749E-6</v>
      </c>
      <c r="AL45" s="1726">
        <v>1.662761385020966E-6</v>
      </c>
      <c r="AM45" s="1726"/>
    </row>
    <row r="46" spans="1:39" ht="15.75" customHeight="1" x14ac:dyDescent="0.25">
      <c r="A46" s="3"/>
      <c r="B46" s="3" t="s">
        <v>1682</v>
      </c>
      <c r="C46" s="3" t="s">
        <v>1672</v>
      </c>
      <c r="D46" s="3" t="s">
        <v>1681</v>
      </c>
      <c r="E46" s="3">
        <v>1</v>
      </c>
      <c r="F46" s="1726">
        <v>0</v>
      </c>
      <c r="G46" s="1726">
        <v>0</v>
      </c>
      <c r="H46" s="1726">
        <v>0</v>
      </c>
      <c r="I46" s="1726">
        <v>0</v>
      </c>
      <c r="J46" s="1726">
        <v>0</v>
      </c>
      <c r="K46" s="1726">
        <v>1.170882409104034E-2</v>
      </c>
      <c r="L46" s="1726">
        <v>2.3805778997884171E-2</v>
      </c>
      <c r="M46" s="1726">
        <v>2.4205965421110219E-2</v>
      </c>
      <c r="N46" s="1726">
        <v>2.4627055109842449E-2</v>
      </c>
      <c r="O46" s="1726">
        <v>2.5071957605381841E-2</v>
      </c>
      <c r="P46" s="1726">
        <v>2.5563650023576429E-2</v>
      </c>
      <c r="Q46" s="1726">
        <v>2.6130624026393531E-2</v>
      </c>
      <c r="R46" s="1726">
        <v>2.67332536599886E-2</v>
      </c>
      <c r="S46" s="1726">
        <v>2.731530386864716E-2</v>
      </c>
      <c r="T46" s="1726">
        <v>2.7862991047383129E-2</v>
      </c>
      <c r="U46" s="1726">
        <v>2.8394561883881779E-2</v>
      </c>
      <c r="V46" s="1726">
        <v>2.8869316750085989E-2</v>
      </c>
      <c r="W46" s="1726">
        <v>2.9308975968077071E-2</v>
      </c>
      <c r="X46" s="1726">
        <v>2.9785157542538639E-2</v>
      </c>
      <c r="Y46" s="1726">
        <v>3.0362264191720709E-2</v>
      </c>
      <c r="Z46" s="1726">
        <v>3.103227403626806E-2</v>
      </c>
      <c r="AA46" s="1726">
        <v>3.1710293425038373E-2</v>
      </c>
      <c r="AB46" s="1726">
        <v>3.2380473308252521E-2</v>
      </c>
      <c r="AC46" s="1726">
        <v>3.3012349052362798E-2</v>
      </c>
      <c r="AD46" s="1726">
        <v>3.3632343709609977E-2</v>
      </c>
      <c r="AE46" s="1726">
        <v>3.42254472906625E-2</v>
      </c>
      <c r="AF46" s="1726">
        <v>3.4775136345906607E-2</v>
      </c>
      <c r="AG46" s="1726">
        <v>3.5382737684634943E-2</v>
      </c>
      <c r="AH46" s="1726">
        <v>3.6000552816871603E-2</v>
      </c>
      <c r="AI46" s="1726">
        <v>3.6633303426304963E-2</v>
      </c>
      <c r="AJ46" s="1726">
        <v>3.7724242229892728E-2</v>
      </c>
      <c r="AK46" s="1726">
        <v>3.8430274994460813E-2</v>
      </c>
      <c r="AL46" s="1726">
        <v>3.8994606853582803E-2</v>
      </c>
      <c r="AM46" s="1726"/>
    </row>
    <row r="47" spans="1:39" ht="15.75" customHeight="1" x14ac:dyDescent="0.25">
      <c r="A47" s="3"/>
      <c r="B47" s="3" t="s">
        <v>1668</v>
      </c>
      <c r="C47" s="3" t="s">
        <v>1683</v>
      </c>
      <c r="D47" s="3" t="s">
        <v>1684</v>
      </c>
      <c r="E47" s="3">
        <v>1</v>
      </c>
      <c r="F47" s="1726">
        <v>0</v>
      </c>
      <c r="G47" s="1726">
        <v>0</v>
      </c>
      <c r="H47" s="1726">
        <v>0</v>
      </c>
      <c r="I47" s="1726">
        <v>0</v>
      </c>
      <c r="J47" s="1726">
        <v>1.730075103327022E-6</v>
      </c>
      <c r="K47" s="1726">
        <v>1.8982374997809811E-5</v>
      </c>
      <c r="L47" s="1726">
        <v>4.6437387530386493E-5</v>
      </c>
      <c r="M47" s="1726">
        <v>8.7441359123456103E-5</v>
      </c>
      <c r="N47" s="1726">
        <v>1.4194214505537371E-4</v>
      </c>
      <c r="O47" s="1726">
        <v>2.1507209919800421E-4</v>
      </c>
      <c r="P47" s="1726">
        <v>2.8324089609362658E-4</v>
      </c>
      <c r="Q47" s="1726">
        <v>3.5053158270654779E-4</v>
      </c>
      <c r="R47" s="1726">
        <v>4.1332150691218369E-4</v>
      </c>
      <c r="S47" s="1726">
        <v>4.140409753710037E-4</v>
      </c>
      <c r="T47" s="1726">
        <v>4.140615909845461E-4</v>
      </c>
      <c r="U47" s="1726">
        <v>4.1368498955670361E-4</v>
      </c>
      <c r="V47" s="1726">
        <v>4.1235756975534021E-4</v>
      </c>
      <c r="W47" s="1726">
        <v>4.1043121464390991E-4</v>
      </c>
      <c r="X47" s="1726">
        <v>4.08921719024073E-4</v>
      </c>
      <c r="Y47" s="1726">
        <v>4.0866952997223088E-4</v>
      </c>
      <c r="Z47" s="1726">
        <v>4.0949655637933401E-4</v>
      </c>
      <c r="AA47" s="1726">
        <v>4.102413353428481E-4</v>
      </c>
      <c r="AB47" s="1726">
        <v>4.1069513067581867E-4</v>
      </c>
      <c r="AC47" s="1726">
        <v>4.1049918227609259E-4</v>
      </c>
      <c r="AD47" s="1726">
        <v>4.1000958621623801E-4</v>
      </c>
      <c r="AE47" s="1726">
        <v>4.0906078520429898E-4</v>
      </c>
      <c r="AF47" s="1726">
        <v>4.0747959881769658E-4</v>
      </c>
      <c r="AG47" s="1726">
        <v>4.0646834581289058E-4</v>
      </c>
      <c r="AH47" s="1726">
        <v>4.0545808953945921E-4</v>
      </c>
      <c r="AI47" s="1726">
        <v>4.0449205830880489E-4</v>
      </c>
      <c r="AJ47" s="1726">
        <v>4.0837034701596048E-4</v>
      </c>
      <c r="AK47" s="1726">
        <v>4.0785503540037322E-4</v>
      </c>
      <c r="AL47" s="1726">
        <v>4.0573062202426801E-4</v>
      </c>
      <c r="AM47" s="1726"/>
    </row>
    <row r="48" spans="1:39" ht="15.75" customHeight="1" x14ac:dyDescent="0.25">
      <c r="A48" s="3"/>
      <c r="B48" s="3" t="s">
        <v>1682</v>
      </c>
      <c r="C48" s="3" t="s">
        <v>1683</v>
      </c>
      <c r="D48" s="3" t="s">
        <v>1684</v>
      </c>
      <c r="E48" s="3">
        <v>1</v>
      </c>
      <c r="F48" s="1726">
        <v>0</v>
      </c>
      <c r="G48" s="1726">
        <v>0</v>
      </c>
      <c r="H48" s="1726">
        <v>0</v>
      </c>
      <c r="I48" s="1726">
        <v>0</v>
      </c>
      <c r="J48" s="1726">
        <v>0</v>
      </c>
      <c r="K48" s="1726">
        <v>8.4467123263104963E-3</v>
      </c>
      <c r="L48" s="1726">
        <v>2.0301661219126362E-2</v>
      </c>
      <c r="M48" s="1726">
        <v>2.3824866830930491E-2</v>
      </c>
      <c r="N48" s="1726">
        <v>2.4238786833933049E-2</v>
      </c>
      <c r="O48" s="1726">
        <v>2.4677380454446372E-2</v>
      </c>
      <c r="P48" s="1726">
        <v>1.9499651982604109E-2</v>
      </c>
      <c r="Q48" s="1726">
        <v>1.414579309142471E-2</v>
      </c>
      <c r="R48" s="1726">
        <v>8.5523922488350921E-3</v>
      </c>
      <c r="S48" s="1726">
        <v>2.6883531885423242E-3</v>
      </c>
      <c r="T48" s="1726">
        <v>2.743143100290983E-3</v>
      </c>
      <c r="U48" s="1726">
        <v>2.2359084093005548E-3</v>
      </c>
      <c r="V48" s="1726">
        <v>1.70354709556809E-3</v>
      </c>
      <c r="W48" s="1726">
        <v>1.1538204020262769E-3</v>
      </c>
      <c r="X48" s="1726">
        <v>5.8645925518091644E-4</v>
      </c>
      <c r="Y48" s="1726">
        <v>0</v>
      </c>
      <c r="Z48" s="1726">
        <v>0</v>
      </c>
      <c r="AA48" s="1726">
        <v>0</v>
      </c>
      <c r="AB48" s="1726">
        <v>0</v>
      </c>
      <c r="AC48" s="1726">
        <v>0</v>
      </c>
      <c r="AD48" s="1726">
        <v>0</v>
      </c>
      <c r="AE48" s="1726">
        <v>0</v>
      </c>
      <c r="AF48" s="1726">
        <v>0</v>
      </c>
      <c r="AG48" s="1726">
        <v>0</v>
      </c>
      <c r="AH48" s="1726">
        <v>0</v>
      </c>
      <c r="AI48" s="1726">
        <v>0</v>
      </c>
      <c r="AJ48" s="1726">
        <v>0</v>
      </c>
      <c r="AK48" s="1726">
        <v>0</v>
      </c>
      <c r="AL48" s="1726">
        <v>0</v>
      </c>
      <c r="AM48" s="1726"/>
    </row>
    <row r="49" spans="1:39" ht="15.75" customHeight="1" x14ac:dyDescent="0.25">
      <c r="A49" s="3"/>
      <c r="B49" s="3" t="s">
        <v>1668</v>
      </c>
      <c r="C49" s="3" t="s">
        <v>1683</v>
      </c>
      <c r="D49" s="3" t="s">
        <v>1685</v>
      </c>
      <c r="E49" s="3">
        <v>6630</v>
      </c>
      <c r="F49" s="1726">
        <v>0</v>
      </c>
      <c r="G49" s="1726">
        <v>0</v>
      </c>
      <c r="H49" s="1726">
        <v>0</v>
      </c>
      <c r="I49" s="1726">
        <v>0</v>
      </c>
      <c r="J49" s="1726">
        <v>4.4884165832836251E-7</v>
      </c>
      <c r="K49" s="1726">
        <v>1.4425854706833569E-6</v>
      </c>
      <c r="L49" s="1726">
        <v>1.303903514699833E-5</v>
      </c>
      <c r="M49" s="1726">
        <v>3.5782524872607343E-5</v>
      </c>
      <c r="N49" s="1726">
        <v>7.034657170195606E-5</v>
      </c>
      <c r="O49" s="1726">
        <v>1.1730201498121869E-4</v>
      </c>
      <c r="P49" s="1726">
        <v>1.77164732379384E-4</v>
      </c>
      <c r="Q49" s="1726">
        <v>2.3890872183542661E-4</v>
      </c>
      <c r="R49" s="1726">
        <v>2.9247235308203383E-4</v>
      </c>
      <c r="S49" s="1726">
        <v>3.3651268041300341E-4</v>
      </c>
      <c r="T49" s="1726">
        <v>3.7015761635671358E-4</v>
      </c>
      <c r="U49" s="1726">
        <v>3.9282960897999531E-4</v>
      </c>
      <c r="V49" s="1726">
        <v>4.033571200107217E-4</v>
      </c>
      <c r="W49" s="1726">
        <v>4.1350030420114872E-4</v>
      </c>
      <c r="X49" s="1726">
        <v>4.2435406911593812E-4</v>
      </c>
      <c r="Y49" s="1726">
        <v>4.3680144684259792E-4</v>
      </c>
      <c r="Z49" s="1726">
        <v>4.508120476563058E-4</v>
      </c>
      <c r="AA49" s="1726">
        <v>4.6517504069101248E-4</v>
      </c>
      <c r="AB49" s="1726">
        <v>4.7968976394474697E-4</v>
      </c>
      <c r="AC49" s="1726">
        <v>4.9384717915311894E-4</v>
      </c>
      <c r="AD49" s="1726">
        <v>5.0801962985677228E-4</v>
      </c>
      <c r="AE49" s="1726">
        <v>5.2206059846655298E-4</v>
      </c>
      <c r="AF49" s="1726">
        <v>5.3563902659882739E-4</v>
      </c>
      <c r="AG49" s="1726">
        <v>5.5035359376891116E-4</v>
      </c>
      <c r="AH49" s="1726">
        <v>5.6542619143398667E-4</v>
      </c>
      <c r="AI49" s="1726">
        <v>5.8101252390705045E-4</v>
      </c>
      <c r="AJ49" s="1726">
        <v>5.4511363290616125E-4</v>
      </c>
      <c r="AK49" s="1726">
        <v>5.0178884012394391E-4</v>
      </c>
      <c r="AL49" s="1726">
        <v>4.5545000749478819E-4</v>
      </c>
      <c r="AM49" s="1726"/>
    </row>
    <row r="50" spans="1:39"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row>
    <row r="51" spans="1:39" ht="15.75" customHeight="1" x14ac:dyDescent="0.25">
      <c r="A51" s="3"/>
      <c r="B51" s="1727" t="s">
        <v>1686</v>
      </c>
      <c r="C51" s="1724"/>
      <c r="D51" s="1724"/>
      <c r="E51" s="1724"/>
      <c r="F51" s="1724"/>
      <c r="G51" s="1724"/>
      <c r="H51" s="1724"/>
      <c r="I51" s="1724"/>
      <c r="J51" s="1724"/>
      <c r="K51" s="1724"/>
      <c r="L51" s="1724"/>
      <c r="M51" s="1724"/>
      <c r="N51" s="1724"/>
      <c r="O51" s="1724"/>
      <c r="P51" s="1724"/>
      <c r="Q51" s="1724"/>
      <c r="R51" s="1724"/>
      <c r="S51" s="1724"/>
      <c r="T51" s="1724"/>
      <c r="U51" s="1724"/>
      <c r="V51" s="1724"/>
      <c r="W51" s="1724"/>
      <c r="X51" s="1724"/>
      <c r="Y51" s="1724"/>
      <c r="Z51" s="1724"/>
      <c r="AA51" s="1724"/>
      <c r="AB51" s="1724"/>
      <c r="AC51" s="1724"/>
      <c r="AD51" s="1724"/>
      <c r="AE51" s="1724"/>
      <c r="AF51" s="1724"/>
      <c r="AG51" s="1724"/>
      <c r="AH51" s="1724"/>
      <c r="AI51" s="1724"/>
      <c r="AJ51" s="1724"/>
      <c r="AK51" s="1724"/>
      <c r="AL51" s="1724"/>
      <c r="AM51" s="1725"/>
    </row>
    <row r="52" spans="1:39"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39" ht="15.75" customHeight="1" x14ac:dyDescent="0.25">
      <c r="A53" s="3"/>
      <c r="B53" s="1714" t="s">
        <v>1617</v>
      </c>
      <c r="C53" s="3" t="s">
        <v>1618</v>
      </c>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row>
    <row r="54" spans="1:39" ht="15.75" customHeight="1" x14ac:dyDescent="0.25">
      <c r="A54" s="3"/>
      <c r="B54" s="1714" t="s">
        <v>1619</v>
      </c>
      <c r="C54" s="3" t="s">
        <v>1687</v>
      </c>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row>
    <row r="55" spans="1:39" ht="15.75" customHeight="1" x14ac:dyDescent="0.25">
      <c r="A55" s="3"/>
      <c r="B55" s="1714" t="s">
        <v>1621</v>
      </c>
      <c r="C55" s="3" t="s">
        <v>1688</v>
      </c>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row>
    <row r="56" spans="1:39"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row>
    <row r="57" spans="1:39" ht="15.75" customHeight="1" x14ac:dyDescent="0.25">
      <c r="A57" s="3"/>
      <c r="B57" s="3" t="s">
        <v>1689</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row>
    <row r="58" spans="1:39" ht="15.75" customHeight="1" x14ac:dyDescent="0.25">
      <c r="A58" s="3"/>
      <c r="B58" s="3" t="s">
        <v>1690</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row>
    <row r="59" spans="1:39" ht="15.75" customHeight="1" x14ac:dyDescent="0.25">
      <c r="A59" s="3"/>
      <c r="B59" s="3" t="s">
        <v>1691</v>
      </c>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row>
    <row r="60" spans="1:39" ht="15.75" customHeight="1" x14ac:dyDescent="0.25">
      <c r="A60" s="3"/>
      <c r="B60" s="3" t="s">
        <v>1692</v>
      </c>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row>
    <row r="61" spans="1:39"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row>
    <row r="62" spans="1:39" ht="15.75" customHeight="1" x14ac:dyDescent="0.25">
      <c r="A62" s="3"/>
      <c r="B62" s="1714" t="s">
        <v>1621</v>
      </c>
      <c r="C62" s="3" t="s">
        <v>1693</v>
      </c>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row>
    <row r="63" spans="1:39" ht="15.75" customHeight="1" x14ac:dyDescent="0.25">
      <c r="A63" s="3"/>
      <c r="B63" s="1714"/>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row>
    <row r="64" spans="1:39" ht="15.75" customHeight="1" x14ac:dyDescent="0.25">
      <c r="A64" s="3"/>
      <c r="B64" s="3" t="s">
        <v>1694</v>
      </c>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row>
    <row r="65" spans="1:39"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row>
    <row r="66" spans="1:39" ht="15.75" customHeight="1" x14ac:dyDescent="0.25">
      <c r="A66" s="3"/>
      <c r="B66" s="1727" t="s">
        <v>1695</v>
      </c>
      <c r="C66" s="1724"/>
      <c r="D66" s="1724"/>
      <c r="E66" s="1724"/>
      <c r="F66" s="1724"/>
      <c r="G66" s="1724"/>
      <c r="H66" s="1724"/>
      <c r="I66" s="1724"/>
      <c r="J66" s="1724"/>
      <c r="K66" s="1724"/>
      <c r="L66" s="1724"/>
      <c r="M66" s="1724"/>
      <c r="N66" s="1724"/>
      <c r="O66" s="1724"/>
      <c r="P66" s="1724"/>
      <c r="Q66" s="1724"/>
      <c r="R66" s="1724"/>
      <c r="S66" s="1724"/>
      <c r="T66" s="1724"/>
      <c r="U66" s="1724"/>
      <c r="V66" s="1724"/>
      <c r="W66" s="1724"/>
      <c r="X66" s="1724"/>
      <c r="Y66" s="1724"/>
      <c r="Z66" s="1724"/>
      <c r="AA66" s="1724"/>
      <c r="AB66" s="1724"/>
      <c r="AC66" s="1724"/>
      <c r="AD66" s="1724"/>
      <c r="AE66" s="1724"/>
      <c r="AF66" s="1724"/>
      <c r="AG66" s="1724"/>
      <c r="AH66" s="1724"/>
      <c r="AI66" s="1724"/>
      <c r="AJ66" s="1724"/>
      <c r="AK66" s="1724"/>
      <c r="AL66" s="1724"/>
      <c r="AM66" s="1725"/>
    </row>
    <row r="67" spans="1:39"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row>
    <row r="68" spans="1:39" ht="15.75" customHeight="1" x14ac:dyDescent="0.25">
      <c r="A68" s="3"/>
      <c r="B68" s="1714" t="s">
        <v>1617</v>
      </c>
      <c r="C68" s="3" t="s">
        <v>1696</v>
      </c>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row>
    <row r="69" spans="1:39" ht="15.75" customHeight="1" x14ac:dyDescent="0.25">
      <c r="A69" s="3"/>
      <c r="B69" s="1714" t="s">
        <v>1619</v>
      </c>
      <c r="C69" s="3" t="s">
        <v>1697</v>
      </c>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row>
    <row r="70" spans="1:39" ht="15.75" customHeight="1" x14ac:dyDescent="0.25">
      <c r="A70" s="3"/>
      <c r="B70" s="1714" t="s">
        <v>1621</v>
      </c>
      <c r="C70" s="3" t="s">
        <v>1698</v>
      </c>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row>
    <row r="71" spans="1:39"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row>
    <row r="72" spans="1:39" ht="15.75" customHeight="1" x14ac:dyDescent="0.25">
      <c r="A72" s="3"/>
      <c r="B72" s="1714" t="s">
        <v>313</v>
      </c>
      <c r="C72" s="1714" t="s">
        <v>2</v>
      </c>
      <c r="D72" s="1714" t="s">
        <v>1741</v>
      </c>
      <c r="E72" s="1714" t="s">
        <v>1742</v>
      </c>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row>
    <row r="73" spans="1:39" ht="15.75" customHeight="1" x14ac:dyDescent="0.25">
      <c r="A73" s="3"/>
      <c r="B73" s="3" t="s">
        <v>1669</v>
      </c>
      <c r="C73" s="3">
        <v>1</v>
      </c>
      <c r="D73" s="3">
        <v>1</v>
      </c>
      <c r="E73" s="1728">
        <f t="shared" ref="E73:E80" si="0">D73/C73</f>
        <v>1</v>
      </c>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row>
    <row r="74" spans="1:39" ht="15.75" customHeight="1" x14ac:dyDescent="0.25">
      <c r="A74" s="3"/>
      <c r="B74" s="3" t="s">
        <v>1673</v>
      </c>
      <c r="C74" s="3">
        <v>3170</v>
      </c>
      <c r="D74" s="3">
        <v>6740</v>
      </c>
      <c r="E74" s="1728">
        <f t="shared" si="0"/>
        <v>2.1261829652996846</v>
      </c>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row>
    <row r="75" spans="1:39" ht="15.75" customHeight="1" x14ac:dyDescent="0.25">
      <c r="A75" s="3"/>
      <c r="B75" s="3" t="s">
        <v>1674</v>
      </c>
      <c r="C75" s="3">
        <v>1300</v>
      </c>
      <c r="D75" s="3">
        <v>4140</v>
      </c>
      <c r="E75" s="1728">
        <f t="shared" si="0"/>
        <v>3.1846153846153844</v>
      </c>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row>
    <row r="76" spans="1:39" ht="15.75" customHeight="1" x14ac:dyDescent="0.25">
      <c r="A76" s="3"/>
      <c r="B76" s="3" t="s">
        <v>1677</v>
      </c>
      <c r="C76" s="3">
        <v>4800</v>
      </c>
      <c r="D76" s="3">
        <v>7840</v>
      </c>
      <c r="E76" s="1728">
        <f t="shared" si="0"/>
        <v>1.6333333333333333</v>
      </c>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row>
    <row r="77" spans="1:39" ht="15.75" customHeight="1" x14ac:dyDescent="0.25">
      <c r="A77" s="3"/>
      <c r="B77" s="3" t="s">
        <v>1678</v>
      </c>
      <c r="C77" s="3">
        <v>12400</v>
      </c>
      <c r="D77" s="3">
        <v>12400</v>
      </c>
      <c r="E77" s="1728">
        <f t="shared" si="0"/>
        <v>1</v>
      </c>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row>
    <row r="78" spans="1:39" ht="15.75" customHeight="1" x14ac:dyDescent="0.25">
      <c r="A78" s="3"/>
      <c r="B78" s="3" t="s">
        <v>1679</v>
      </c>
      <c r="C78" s="3">
        <v>8060</v>
      </c>
      <c r="D78" s="3">
        <v>7450</v>
      </c>
      <c r="E78" s="1728">
        <f t="shared" si="0"/>
        <v>0.92431761786600497</v>
      </c>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row>
    <row r="79" spans="1:39" ht="15.75" customHeight="1" x14ac:dyDescent="0.25">
      <c r="A79" s="3"/>
      <c r="B79" s="3" t="s">
        <v>1680</v>
      </c>
      <c r="C79" s="3">
        <v>677</v>
      </c>
      <c r="D79" s="3">
        <v>2690</v>
      </c>
      <c r="E79" s="1728">
        <f t="shared" si="0"/>
        <v>3.9734121122599704</v>
      </c>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row>
    <row r="80" spans="1:39" ht="15.75" customHeight="1" x14ac:dyDescent="0.25">
      <c r="A80" s="3"/>
      <c r="B80" s="3" t="s">
        <v>1685</v>
      </c>
      <c r="C80" s="3">
        <v>6630</v>
      </c>
      <c r="D80" s="3">
        <v>5300</v>
      </c>
      <c r="E80" s="1728">
        <f t="shared" si="0"/>
        <v>0.79939668174962297</v>
      </c>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row>
    <row r="81" spans="1:39"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row>
    <row r="82" spans="1:39" ht="15.75" customHeight="1" x14ac:dyDescent="0.25">
      <c r="A82" s="3"/>
      <c r="B82" s="1714" t="s">
        <v>313</v>
      </c>
      <c r="C82" s="1714" t="s">
        <v>2</v>
      </c>
      <c r="D82" s="1714" t="s">
        <v>1741</v>
      </c>
      <c r="E82" s="1714" t="s">
        <v>1742</v>
      </c>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row>
    <row r="83" spans="1:39" ht="15.75" customHeight="1" x14ac:dyDescent="0.25">
      <c r="A83" s="3"/>
      <c r="B83" s="3" t="s">
        <v>1701</v>
      </c>
      <c r="C83" s="3">
        <v>138</v>
      </c>
      <c r="D83" s="3">
        <v>591</v>
      </c>
      <c r="E83" s="1728">
        <f t="shared" ref="E83:E87" si="1">D83/C83</f>
        <v>4.2826086956521738</v>
      </c>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row>
    <row r="84" spans="1:39" ht="15.75" customHeight="1" x14ac:dyDescent="0.25">
      <c r="A84" s="3"/>
      <c r="B84" s="3" t="s">
        <v>1702</v>
      </c>
      <c r="C84" s="3">
        <v>3350</v>
      </c>
      <c r="D84" s="3">
        <v>5850</v>
      </c>
      <c r="E84" s="1728">
        <f t="shared" si="1"/>
        <v>1.7462686567164178</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row>
    <row r="85" spans="1:39" ht="15.75" customHeight="1" x14ac:dyDescent="0.25">
      <c r="A85" s="3"/>
      <c r="B85" s="3" t="s">
        <v>1703</v>
      </c>
      <c r="C85" s="3">
        <v>858</v>
      </c>
      <c r="D85" s="3">
        <v>3170</v>
      </c>
      <c r="E85" s="1728">
        <f t="shared" si="1"/>
        <v>3.6946386946386944</v>
      </c>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row>
    <row r="86" spans="1:39" ht="15.75" customHeight="1" x14ac:dyDescent="0.25">
      <c r="A86" s="3"/>
      <c r="B86" s="3" t="s">
        <v>1704</v>
      </c>
      <c r="C86" s="3">
        <v>804</v>
      </c>
      <c r="D86" s="3">
        <v>2920</v>
      </c>
      <c r="E86" s="1728">
        <f t="shared" si="1"/>
        <v>3.6318407960199006</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row>
    <row r="87" spans="1:39" ht="15.75" customHeight="1" x14ac:dyDescent="0.25">
      <c r="A87" s="3"/>
      <c r="B87" s="3" t="s">
        <v>1705</v>
      </c>
      <c r="C87" s="3">
        <v>1650</v>
      </c>
      <c r="D87" s="3">
        <v>3960</v>
      </c>
      <c r="E87" s="1728">
        <f t="shared" si="1"/>
        <v>2.4</v>
      </c>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row>
    <row r="88" spans="1:39" ht="15.75" customHeight="1" x14ac:dyDescent="0.25">
      <c r="A88" s="3"/>
      <c r="B88" s="1729" t="s">
        <v>1681</v>
      </c>
      <c r="C88" s="1730"/>
      <c r="D88" s="1730"/>
      <c r="E88" s="1731">
        <f>AVERAGE(E83:E87)</f>
        <v>3.1510713686054377</v>
      </c>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row>
    <row r="89" spans="1:39"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row>
    <row r="90" spans="1:39" ht="15.75" customHeight="1" x14ac:dyDescent="0.25">
      <c r="A90" s="3"/>
      <c r="B90" s="1714" t="s">
        <v>313</v>
      </c>
      <c r="C90" s="1714" t="s">
        <v>2</v>
      </c>
      <c r="D90" s="1714" t="s">
        <v>1741</v>
      </c>
      <c r="E90" s="1714" t="s">
        <v>1742</v>
      </c>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row>
    <row r="91" spans="1:39" ht="15.75" customHeight="1" x14ac:dyDescent="0.25">
      <c r="A91" s="3"/>
      <c r="B91" s="3" t="s">
        <v>1706</v>
      </c>
      <c r="C91" s="3">
        <v>9200</v>
      </c>
      <c r="D91" s="3">
        <v>7300</v>
      </c>
      <c r="E91" s="1728">
        <f t="shared" ref="E91:E92" si="2">D91/C91</f>
        <v>0.79347826086956519</v>
      </c>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row>
    <row r="92" spans="1:39" ht="15.75" customHeight="1" x14ac:dyDescent="0.25">
      <c r="A92" s="3"/>
      <c r="B92" s="3" t="s">
        <v>1707</v>
      </c>
      <c r="C92" s="3">
        <v>7910</v>
      </c>
      <c r="D92" s="3">
        <v>6260</v>
      </c>
      <c r="E92" s="1728">
        <f t="shared" si="2"/>
        <v>0.79140328697850826</v>
      </c>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row>
    <row r="93" spans="1:39" ht="15.75" customHeight="1" x14ac:dyDescent="0.25">
      <c r="A93" s="3"/>
      <c r="B93" s="1714" t="s">
        <v>1617</v>
      </c>
      <c r="C93" s="3" t="s">
        <v>1696</v>
      </c>
      <c r="D93" s="3"/>
      <c r="E93" s="1728"/>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row>
    <row r="94" spans="1:39" ht="15.75" customHeight="1" x14ac:dyDescent="0.25">
      <c r="A94" s="3"/>
      <c r="B94" s="1714" t="s">
        <v>1619</v>
      </c>
      <c r="C94" s="3" t="s">
        <v>1708</v>
      </c>
      <c r="D94" s="3"/>
      <c r="E94" s="1728"/>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row>
    <row r="95" spans="1:39" ht="15.75" customHeight="1" x14ac:dyDescent="0.25">
      <c r="A95" s="3"/>
      <c r="B95" s="1714" t="s">
        <v>1621</v>
      </c>
      <c r="C95" s="3" t="s">
        <v>1709</v>
      </c>
      <c r="D95" s="3"/>
      <c r="E95" s="1728"/>
      <c r="F95" s="3"/>
      <c r="G95" s="3"/>
      <c r="H95" s="161" t="s">
        <v>1710</v>
      </c>
      <c r="I95" s="161"/>
      <c r="J95" s="161"/>
      <c r="K95" s="161"/>
      <c r="L95" s="161"/>
      <c r="M95" s="161" t="s">
        <v>1711</v>
      </c>
      <c r="N95" s="161"/>
      <c r="O95" s="161"/>
      <c r="P95" s="161"/>
      <c r="Q95" s="161"/>
      <c r="R95" s="161"/>
      <c r="S95" s="3"/>
      <c r="T95" s="3"/>
      <c r="U95" s="3"/>
      <c r="V95" s="3"/>
      <c r="W95" s="3"/>
      <c r="X95" s="3"/>
      <c r="Y95" s="3"/>
      <c r="Z95" s="3"/>
      <c r="AA95" s="3"/>
      <c r="AB95" s="3"/>
      <c r="AC95" s="3"/>
      <c r="AD95" s="3"/>
      <c r="AE95" s="3"/>
      <c r="AF95" s="3"/>
      <c r="AG95" s="3"/>
      <c r="AH95" s="3"/>
      <c r="AI95" s="3"/>
      <c r="AJ95" s="3"/>
      <c r="AK95" s="3"/>
      <c r="AL95" s="3"/>
      <c r="AM95" s="3"/>
    </row>
    <row r="96" spans="1:39" ht="15.75" customHeight="1" x14ac:dyDescent="0.25">
      <c r="A96" s="3"/>
      <c r="B96" s="1714" t="s">
        <v>313</v>
      </c>
      <c r="C96" s="1714" t="s">
        <v>1699</v>
      </c>
      <c r="D96" s="1714" t="s">
        <v>1741</v>
      </c>
      <c r="E96" s="1732" t="s">
        <v>1742</v>
      </c>
      <c r="F96" s="3"/>
      <c r="G96" s="3"/>
      <c r="H96" s="161" t="s">
        <v>1712</v>
      </c>
      <c r="I96" s="161" t="s">
        <v>1713</v>
      </c>
      <c r="J96" s="161" t="s">
        <v>1714</v>
      </c>
      <c r="K96" s="161" t="s">
        <v>1715</v>
      </c>
      <c r="L96" s="161"/>
      <c r="M96" s="161" t="s">
        <v>1712</v>
      </c>
      <c r="N96" s="161" t="s">
        <v>1713</v>
      </c>
      <c r="O96" s="161" t="s">
        <v>1715</v>
      </c>
      <c r="P96" s="161" t="s">
        <v>1716</v>
      </c>
      <c r="Q96" s="161" t="s">
        <v>1717</v>
      </c>
      <c r="R96" s="161" t="s">
        <v>1718</v>
      </c>
      <c r="S96" s="3"/>
      <c r="T96" s="3"/>
      <c r="U96" s="3"/>
      <c r="V96" s="3"/>
      <c r="W96" s="3"/>
      <c r="X96" s="3"/>
      <c r="Y96" s="3"/>
      <c r="Z96" s="3"/>
      <c r="AA96" s="3"/>
      <c r="AB96" s="3"/>
      <c r="AC96" s="3"/>
      <c r="AD96" s="3"/>
      <c r="AE96" s="3"/>
      <c r="AF96" s="3"/>
      <c r="AG96" s="3"/>
      <c r="AH96" s="3"/>
      <c r="AI96" s="3"/>
      <c r="AJ96" s="3"/>
      <c r="AK96" s="3"/>
      <c r="AL96" s="3"/>
      <c r="AM96" s="3"/>
    </row>
    <row r="97" spans="1:39" ht="15.75" customHeight="1" x14ac:dyDescent="0.25">
      <c r="A97" s="3"/>
      <c r="B97" s="3" t="s">
        <v>1719</v>
      </c>
      <c r="C97" s="3">
        <v>3.88</v>
      </c>
      <c r="D97" s="3">
        <v>14</v>
      </c>
      <c r="E97" s="1728">
        <f t="shared" ref="E97:E100" si="3">D97/C97</f>
        <v>3.6082474226804124</v>
      </c>
      <c r="F97" s="3"/>
      <c r="G97" s="3"/>
      <c r="H97" s="161" t="s">
        <v>1719</v>
      </c>
      <c r="I97" s="161" t="s">
        <v>1720</v>
      </c>
      <c r="J97" s="161">
        <v>0.11600000000000001</v>
      </c>
      <c r="K97" s="161">
        <v>42</v>
      </c>
      <c r="L97" s="161"/>
      <c r="M97" s="161" t="s">
        <v>1721</v>
      </c>
      <c r="N97" s="161" t="s">
        <v>1722</v>
      </c>
      <c r="O97" s="161">
        <v>26</v>
      </c>
      <c r="P97" s="161">
        <v>5</v>
      </c>
      <c r="Q97" s="161">
        <v>1</v>
      </c>
      <c r="R97" s="161">
        <f t="shared" ref="R97:R100" si="4">P97/Q97</f>
        <v>5</v>
      </c>
      <c r="S97" s="3"/>
      <c r="T97" s="3"/>
      <c r="U97" s="3"/>
      <c r="V97" s="3"/>
      <c r="W97" s="3"/>
      <c r="X97" s="3"/>
      <c r="Y97" s="3"/>
      <c r="Z97" s="3"/>
      <c r="AA97" s="3"/>
      <c r="AB97" s="3"/>
      <c r="AC97" s="3"/>
      <c r="AD97" s="3"/>
      <c r="AE97" s="3"/>
      <c r="AF97" s="3"/>
      <c r="AG97" s="3"/>
      <c r="AH97" s="3"/>
      <c r="AI97" s="3"/>
      <c r="AJ97" s="3"/>
      <c r="AK97" s="3"/>
      <c r="AL97" s="3"/>
      <c r="AM97" s="3"/>
    </row>
    <row r="98" spans="1:39" ht="15.75" customHeight="1" x14ac:dyDescent="0.25">
      <c r="A98" s="3"/>
      <c r="B98" s="3" t="s">
        <v>1723</v>
      </c>
      <c r="C98" s="3">
        <v>0.501</v>
      </c>
      <c r="D98" s="3">
        <v>1.81</v>
      </c>
      <c r="E98" s="1728">
        <f t="shared" si="3"/>
        <v>3.6127744510978044</v>
      </c>
      <c r="F98" s="3"/>
      <c r="G98" s="3"/>
      <c r="H98" s="161" t="s">
        <v>1723</v>
      </c>
      <c r="I98" s="161" t="s">
        <v>1724</v>
      </c>
      <c r="J98" s="161">
        <v>3.3000000000000002E-2</v>
      </c>
      <c r="K98" s="161">
        <v>12</v>
      </c>
      <c r="L98" s="161"/>
      <c r="M98" s="161" t="s">
        <v>1725</v>
      </c>
      <c r="N98" s="161" t="s">
        <v>1726</v>
      </c>
      <c r="O98" s="161">
        <v>10.5</v>
      </c>
      <c r="P98" s="161">
        <v>1</v>
      </c>
      <c r="Q98" s="161" t="s">
        <v>1727</v>
      </c>
      <c r="R98" s="161" t="e">
        <f t="shared" si="4"/>
        <v>#VALUE!</v>
      </c>
      <c r="S98" s="3"/>
      <c r="T98" s="3"/>
      <c r="U98" s="3"/>
      <c r="V98" s="3"/>
      <c r="W98" s="3"/>
      <c r="X98" s="3"/>
      <c r="Y98" s="3"/>
      <c r="Z98" s="3"/>
      <c r="AA98" s="3"/>
      <c r="AB98" s="3"/>
      <c r="AC98" s="3"/>
      <c r="AD98" s="3"/>
      <c r="AE98" s="3"/>
      <c r="AF98" s="3"/>
      <c r="AG98" s="3"/>
      <c r="AH98" s="3"/>
      <c r="AI98" s="3"/>
      <c r="AJ98" s="3"/>
      <c r="AK98" s="3"/>
      <c r="AL98" s="3"/>
      <c r="AM98" s="3"/>
    </row>
    <row r="99" spans="1:39" ht="15.75" customHeight="1" x14ac:dyDescent="0.25">
      <c r="A99" s="3"/>
      <c r="B99" s="3" t="s">
        <v>1728</v>
      </c>
      <c r="C99" s="3">
        <v>1.37</v>
      </c>
      <c r="D99" s="3">
        <v>4.9400000000000004</v>
      </c>
      <c r="E99" s="1728">
        <f t="shared" si="3"/>
        <v>3.605839416058394</v>
      </c>
      <c r="F99" s="3"/>
      <c r="G99" s="3"/>
      <c r="H99" s="161" t="s">
        <v>1728</v>
      </c>
      <c r="I99" s="161" t="s">
        <v>1729</v>
      </c>
      <c r="J99" s="161">
        <v>5.1999999999999998E-2</v>
      </c>
      <c r="K99" s="161">
        <v>19</v>
      </c>
      <c r="L99" s="161"/>
      <c r="M99" s="161" t="s">
        <v>1730</v>
      </c>
      <c r="N99" s="161" t="s">
        <v>1731</v>
      </c>
      <c r="O99" s="161">
        <v>16.399999999999999</v>
      </c>
      <c r="P99" s="161">
        <v>4</v>
      </c>
      <c r="Q99" s="161" t="s">
        <v>1727</v>
      </c>
      <c r="R99" s="161" t="e">
        <f t="shared" si="4"/>
        <v>#VALUE!</v>
      </c>
      <c r="S99" s="3"/>
      <c r="T99" s="3"/>
      <c r="U99" s="3"/>
      <c r="V99" s="3"/>
      <c r="W99" s="3"/>
      <c r="X99" s="3"/>
      <c r="Y99" s="3"/>
      <c r="Z99" s="3"/>
      <c r="AA99" s="3"/>
      <c r="AB99" s="3"/>
      <c r="AC99" s="3"/>
      <c r="AD99" s="3"/>
      <c r="AE99" s="3"/>
      <c r="AF99" s="3"/>
      <c r="AG99" s="3"/>
      <c r="AH99" s="3"/>
      <c r="AI99" s="3"/>
      <c r="AJ99" s="3"/>
      <c r="AK99" s="3"/>
      <c r="AL99" s="3"/>
      <c r="AM99" s="3"/>
    </row>
    <row r="100" spans="1:39" ht="15.75" customHeight="1" x14ac:dyDescent="0.25">
      <c r="A100" s="3"/>
      <c r="B100" s="3" t="s">
        <v>1732</v>
      </c>
      <c r="C100" s="3">
        <v>2.08</v>
      </c>
      <c r="D100" s="3">
        <v>7.48</v>
      </c>
      <c r="E100" s="1728">
        <f t="shared" si="3"/>
        <v>3.5961538461538463</v>
      </c>
      <c r="F100" s="3"/>
      <c r="G100" s="3"/>
      <c r="H100" s="161" t="s">
        <v>1732</v>
      </c>
      <c r="I100" s="161" t="s">
        <v>1733</v>
      </c>
      <c r="J100" s="161">
        <v>7.3999999999999996E-2</v>
      </c>
      <c r="K100" s="161">
        <v>27</v>
      </c>
      <c r="L100" s="161"/>
      <c r="M100" s="161" t="s">
        <v>1734</v>
      </c>
      <c r="N100" s="161" t="s">
        <v>1735</v>
      </c>
      <c r="O100" s="161">
        <v>22</v>
      </c>
      <c r="P100" s="161">
        <v>6</v>
      </c>
      <c r="Q100" s="161">
        <v>2</v>
      </c>
      <c r="R100" s="161">
        <f t="shared" si="4"/>
        <v>3</v>
      </c>
      <c r="S100" s="3"/>
      <c r="T100" s="3"/>
      <c r="U100" s="3"/>
      <c r="V100" s="3"/>
      <c r="W100" s="3"/>
      <c r="X100" s="3"/>
      <c r="Y100" s="3"/>
      <c r="Z100" s="3"/>
      <c r="AA100" s="3"/>
      <c r="AB100" s="3"/>
      <c r="AC100" s="3"/>
      <c r="AD100" s="3"/>
      <c r="AE100" s="3"/>
      <c r="AF100" s="3"/>
      <c r="AG100" s="3"/>
      <c r="AH100" s="3"/>
      <c r="AI100" s="3"/>
      <c r="AJ100" s="3"/>
      <c r="AK100" s="3"/>
      <c r="AL100" s="3"/>
      <c r="AM100" s="3"/>
    </row>
    <row r="101" spans="1:39" ht="15.75" customHeight="1" x14ac:dyDescent="0.25">
      <c r="A101" s="3"/>
      <c r="B101" s="1729" t="s">
        <v>1684</v>
      </c>
      <c r="C101" s="1730"/>
      <c r="D101" s="1730"/>
      <c r="E101" s="1731">
        <f>AVERAGE(E91:E100)</f>
        <v>2.6679827806397554</v>
      </c>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row>
    <row r="102" spans="1:39"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row>
    <row r="103" spans="1:39" ht="15.75" customHeight="1" x14ac:dyDescent="0.25">
      <c r="A103" s="3"/>
      <c r="B103" s="1727" t="s">
        <v>1743</v>
      </c>
      <c r="C103" s="1724"/>
      <c r="D103" s="1724"/>
      <c r="E103" s="1724"/>
      <c r="F103" s="1724"/>
      <c r="G103" s="1724"/>
      <c r="H103" s="1724"/>
      <c r="I103" s="1724"/>
      <c r="J103" s="1724"/>
      <c r="K103" s="1724"/>
      <c r="L103" s="1724"/>
      <c r="M103" s="1724"/>
      <c r="N103" s="1724"/>
      <c r="O103" s="1724"/>
      <c r="P103" s="1724"/>
      <c r="Q103" s="1724"/>
      <c r="R103" s="1724"/>
      <c r="S103" s="1724"/>
      <c r="T103" s="1724"/>
      <c r="U103" s="1724"/>
      <c r="V103" s="1724"/>
      <c r="W103" s="1724"/>
      <c r="X103" s="1724"/>
      <c r="Y103" s="1724"/>
      <c r="Z103" s="1724"/>
      <c r="AA103" s="1724"/>
      <c r="AB103" s="1724"/>
      <c r="AC103" s="1724"/>
      <c r="AD103" s="1724"/>
      <c r="AE103" s="1724"/>
      <c r="AF103" s="1724"/>
      <c r="AG103" s="1724"/>
      <c r="AH103" s="1724"/>
      <c r="AI103" s="1724"/>
      <c r="AJ103" s="1724"/>
      <c r="AK103" s="1724"/>
      <c r="AL103" s="1724"/>
      <c r="AM103" s="1725"/>
    </row>
    <row r="104" spans="1:39"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row>
    <row r="105" spans="1:39" ht="15.75" customHeight="1" x14ac:dyDescent="0.25">
      <c r="A105" s="3"/>
      <c r="B105" s="1714" t="str">
        <f t="shared" ref="B105:D120" si="5">B15</f>
        <v>sub_category_1</v>
      </c>
      <c r="C105" s="1714" t="str">
        <f t="shared" si="5"/>
        <v>ghg_category</v>
      </c>
      <c r="D105" s="1714" t="str">
        <f t="shared" si="5"/>
        <v>ghg</v>
      </c>
      <c r="E105" s="1714" t="s">
        <v>1737</v>
      </c>
      <c r="F105" s="1714" t="str">
        <f t="shared" ref="F105:AL105" si="6">F15</f>
        <v>Y1990</v>
      </c>
      <c r="G105" s="1714" t="str">
        <f t="shared" si="6"/>
        <v>Y1991</v>
      </c>
      <c r="H105" s="1714" t="str">
        <f t="shared" si="6"/>
        <v>Y1992</v>
      </c>
      <c r="I105" s="1714" t="str">
        <f t="shared" si="6"/>
        <v>Y1993</v>
      </c>
      <c r="J105" s="1714" t="str">
        <f t="shared" si="6"/>
        <v>Y1994</v>
      </c>
      <c r="K105" s="1714" t="str">
        <f t="shared" si="6"/>
        <v>Y1995</v>
      </c>
      <c r="L105" s="1714" t="str">
        <f t="shared" si="6"/>
        <v>Y1996</v>
      </c>
      <c r="M105" s="1714" t="str">
        <f t="shared" si="6"/>
        <v>Y1997</v>
      </c>
      <c r="N105" s="1714" t="str">
        <f t="shared" si="6"/>
        <v>Y1998</v>
      </c>
      <c r="O105" s="1714" t="str">
        <f t="shared" si="6"/>
        <v>Y1999</v>
      </c>
      <c r="P105" s="1714" t="str">
        <f t="shared" si="6"/>
        <v>Y2000</v>
      </c>
      <c r="Q105" s="1714" t="str">
        <f t="shared" si="6"/>
        <v>Y2001</v>
      </c>
      <c r="R105" s="1714" t="str">
        <f t="shared" si="6"/>
        <v>Y2002</v>
      </c>
      <c r="S105" s="1714" t="str">
        <f t="shared" si="6"/>
        <v>Y2003</v>
      </c>
      <c r="T105" s="1714" t="str">
        <f t="shared" si="6"/>
        <v>Y2004</v>
      </c>
      <c r="U105" s="1714" t="str">
        <f t="shared" si="6"/>
        <v>Y2005</v>
      </c>
      <c r="V105" s="1714" t="str">
        <f t="shared" si="6"/>
        <v>Y2006</v>
      </c>
      <c r="W105" s="1714" t="str">
        <f t="shared" si="6"/>
        <v>Y2007</v>
      </c>
      <c r="X105" s="1714" t="str">
        <f t="shared" si="6"/>
        <v>Y2008</v>
      </c>
      <c r="Y105" s="1714" t="str">
        <f t="shared" si="6"/>
        <v>Y2009</v>
      </c>
      <c r="Z105" s="1714" t="str">
        <f t="shared" si="6"/>
        <v>Y2010</v>
      </c>
      <c r="AA105" s="1714" t="str">
        <f t="shared" si="6"/>
        <v>Y2011</v>
      </c>
      <c r="AB105" s="1714" t="str">
        <f t="shared" si="6"/>
        <v>Y2012</v>
      </c>
      <c r="AC105" s="1714" t="str">
        <f t="shared" si="6"/>
        <v>Y2013</v>
      </c>
      <c r="AD105" s="1714" t="str">
        <f t="shared" si="6"/>
        <v>Y2014</v>
      </c>
      <c r="AE105" s="1714" t="str">
        <f t="shared" si="6"/>
        <v>Y2015</v>
      </c>
      <c r="AF105" s="1714" t="str">
        <f t="shared" si="6"/>
        <v>Y2016</v>
      </c>
      <c r="AG105" s="1714" t="str">
        <f t="shared" si="6"/>
        <v>Y2017</v>
      </c>
      <c r="AH105" s="1714" t="str">
        <f t="shared" si="6"/>
        <v>Y2018</v>
      </c>
      <c r="AI105" s="1714" t="str">
        <f t="shared" si="6"/>
        <v>Y2019</v>
      </c>
      <c r="AJ105" s="1714" t="str">
        <f t="shared" si="6"/>
        <v>Y2020</v>
      </c>
      <c r="AK105" s="1714" t="str">
        <f t="shared" si="6"/>
        <v>Y2021</v>
      </c>
      <c r="AL105" s="1714" t="str">
        <f t="shared" si="6"/>
        <v>Y2022</v>
      </c>
      <c r="AM105" s="1714"/>
    </row>
    <row r="106" spans="1:39" ht="15.75" customHeight="1" x14ac:dyDescent="0.25">
      <c r="A106" s="3"/>
      <c r="B106" s="3" t="str">
        <f t="shared" si="5"/>
        <v>Fire protection</v>
      </c>
      <c r="C106" s="3" t="str">
        <f t="shared" si="5"/>
        <v>CO2</v>
      </c>
      <c r="D106" s="3" t="str">
        <f t="shared" si="5"/>
        <v>Carbon Dioxide</v>
      </c>
      <c r="E106" s="1728">
        <f t="shared" ref="E106:E139" si="7">_xlfn.XLOOKUP(D106,B$73:B$101,E$73:E$101)</f>
        <v>1</v>
      </c>
      <c r="F106" s="1726">
        <f t="shared" ref="F106:AL113" si="8">F16*$E106</f>
        <v>0</v>
      </c>
      <c r="G106" s="1726">
        <f t="shared" si="8"/>
        <v>0</v>
      </c>
      <c r="H106" s="1726">
        <f t="shared" si="8"/>
        <v>0</v>
      </c>
      <c r="I106" s="1726">
        <f t="shared" si="8"/>
        <v>0</v>
      </c>
      <c r="J106" s="1726">
        <f t="shared" si="8"/>
        <v>0</v>
      </c>
      <c r="K106" s="1726">
        <f t="shared" si="8"/>
        <v>0</v>
      </c>
      <c r="L106" s="1726">
        <f t="shared" si="8"/>
        <v>0</v>
      </c>
      <c r="M106" s="1726">
        <f t="shared" si="8"/>
        <v>0</v>
      </c>
      <c r="N106" s="1726">
        <f t="shared" si="8"/>
        <v>9.8519299213394535E-9</v>
      </c>
      <c r="O106" s="1726">
        <f t="shared" si="8"/>
        <v>3.1540939323378811E-8</v>
      </c>
      <c r="P106" s="1726">
        <f t="shared" si="8"/>
        <v>6.2501428747742371E-8</v>
      </c>
      <c r="Q106" s="1726">
        <f t="shared" si="8"/>
        <v>1.018511703728463E-7</v>
      </c>
      <c r="R106" s="1726">
        <f t="shared" si="8"/>
        <v>1.4894636659878889E-7</v>
      </c>
      <c r="S106" s="1726">
        <f t="shared" si="8"/>
        <v>2.0074600781338119E-7</v>
      </c>
      <c r="T106" s="1726">
        <f t="shared" si="8"/>
        <v>2.6107617905303778E-7</v>
      </c>
      <c r="U106" s="1726">
        <f t="shared" si="8"/>
        <v>3.2987329132971848E-7</v>
      </c>
      <c r="V106" s="1726">
        <f t="shared" si="8"/>
        <v>4.0711289923977971E-7</v>
      </c>
      <c r="W106" s="1726">
        <f t="shared" si="8"/>
        <v>4.8314336560554063E-7</v>
      </c>
      <c r="X106" s="1726">
        <f t="shared" si="8"/>
        <v>5.5882771452414812E-7</v>
      </c>
      <c r="Y106" s="1726">
        <f t="shared" si="8"/>
        <v>6.3589657153355418E-7</v>
      </c>
      <c r="Z106" s="1726">
        <f t="shared" si="8"/>
        <v>7.1660050457866461E-7</v>
      </c>
      <c r="AA106" s="1726">
        <f t="shared" si="8"/>
        <v>7.9894555566048068E-7</v>
      </c>
      <c r="AB106" s="1726">
        <f t="shared" si="8"/>
        <v>8.85221012763728E-7</v>
      </c>
      <c r="AC106" s="1726">
        <f t="shared" si="8"/>
        <v>9.7440790019803123E-7</v>
      </c>
      <c r="AD106" s="1726">
        <f t="shared" si="8"/>
        <v>1.0670013135791511E-6</v>
      </c>
      <c r="AE106" s="1726">
        <f t="shared" si="8"/>
        <v>1.1630521332887881E-6</v>
      </c>
      <c r="AF106" s="1726">
        <f t="shared" si="8"/>
        <v>1.261290134713085E-6</v>
      </c>
      <c r="AG106" s="1726">
        <f t="shared" si="8"/>
        <v>1.3659550986162041E-6</v>
      </c>
      <c r="AH106" s="1726">
        <f t="shared" si="8"/>
        <v>1.4755733918879199E-6</v>
      </c>
      <c r="AI106" s="1726">
        <f t="shared" si="8"/>
        <v>1.5902747935584759E-6</v>
      </c>
      <c r="AJ106" s="1726">
        <f t="shared" si="8"/>
        <v>1.668144611637901E-6</v>
      </c>
      <c r="AK106" s="1726">
        <f t="shared" si="8"/>
        <v>1.7298704460152931E-6</v>
      </c>
      <c r="AL106" s="1726">
        <f t="shared" si="8"/>
        <v>1.785639279141623E-6</v>
      </c>
      <c r="AM106" s="1726"/>
    </row>
    <row r="107" spans="1:39" ht="15.75" customHeight="1" x14ac:dyDescent="0.25">
      <c r="A107" s="3"/>
      <c r="B107" s="3" t="str">
        <f t="shared" si="5"/>
        <v>Foam blowing agents</v>
      </c>
      <c r="C107" s="3" t="str">
        <f t="shared" si="5"/>
        <v>CO2</v>
      </c>
      <c r="D107" s="3" t="str">
        <f t="shared" si="5"/>
        <v>Carbon Dioxide</v>
      </c>
      <c r="E107" s="1728">
        <f t="shared" si="7"/>
        <v>1</v>
      </c>
      <c r="F107" s="1726">
        <f t="shared" si="8"/>
        <v>2.6131014791080082E-7</v>
      </c>
      <c r="G107" s="1726">
        <f t="shared" si="8"/>
        <v>4.1898124909234098E-7</v>
      </c>
      <c r="H107" s="1726">
        <f t="shared" si="8"/>
        <v>5.8111866987456702E-7</v>
      </c>
      <c r="I107" s="1726">
        <f t="shared" si="8"/>
        <v>7.4840461171582204E-7</v>
      </c>
      <c r="J107" s="1726">
        <f t="shared" si="8"/>
        <v>9.2201719908830302E-7</v>
      </c>
      <c r="K107" s="1726">
        <f t="shared" si="8"/>
        <v>2.3052706395561522E-6</v>
      </c>
      <c r="L107" s="1726">
        <f t="shared" si="8"/>
        <v>4.4136082214367739E-6</v>
      </c>
      <c r="M107" s="1726">
        <f t="shared" si="8"/>
        <v>6.5946290152229707E-6</v>
      </c>
      <c r="N107" s="1726">
        <f t="shared" si="8"/>
        <v>8.8466612984224004E-6</v>
      </c>
      <c r="O107" s="1726">
        <f t="shared" si="8"/>
        <v>1.147830442458914E-5</v>
      </c>
      <c r="P107" s="1726">
        <f t="shared" si="8"/>
        <v>1.2507147924218111E-5</v>
      </c>
      <c r="Q107" s="1726">
        <f t="shared" si="8"/>
        <v>1.314530607109544E-5</v>
      </c>
      <c r="R107" s="1726">
        <f t="shared" si="8"/>
        <v>1.713973749358667E-5</v>
      </c>
      <c r="S107" s="1726">
        <f t="shared" si="8"/>
        <v>2.1744247344928299E-5</v>
      </c>
      <c r="T107" s="1726">
        <f t="shared" si="8"/>
        <v>2.306901239073155E-5</v>
      </c>
      <c r="U107" s="1726">
        <f t="shared" si="8"/>
        <v>2.4384035920381919E-5</v>
      </c>
      <c r="V107" s="1726">
        <f t="shared" si="8"/>
        <v>2.5685308896897321E-5</v>
      </c>
      <c r="W107" s="1726">
        <f t="shared" si="8"/>
        <v>2.69879996666842E-5</v>
      </c>
      <c r="X107" s="1726">
        <f t="shared" si="8"/>
        <v>2.8364564007057459E-5</v>
      </c>
      <c r="Y107" s="1726">
        <f t="shared" si="8"/>
        <v>3.1166396877940423E-5</v>
      </c>
      <c r="Z107" s="1726">
        <f t="shared" si="8"/>
        <v>3.4618545587236393E-5</v>
      </c>
      <c r="AA107" s="1726">
        <f t="shared" si="8"/>
        <v>3.6918482212532093E-5</v>
      </c>
      <c r="AB107" s="1726">
        <f t="shared" si="8"/>
        <v>3.867669343107176E-5</v>
      </c>
      <c r="AC107" s="1726">
        <f t="shared" si="8"/>
        <v>4.0727676739808633E-5</v>
      </c>
      <c r="AD107" s="1726">
        <f t="shared" si="8"/>
        <v>4.3031867101066257E-5</v>
      </c>
      <c r="AE107" s="1726">
        <f t="shared" si="8"/>
        <v>4.5313001867797073E-5</v>
      </c>
      <c r="AF107" s="1726">
        <f t="shared" si="8"/>
        <v>4.8376348474465388E-5</v>
      </c>
      <c r="AG107" s="1726">
        <f t="shared" si="8"/>
        <v>5.1409482806971542E-5</v>
      </c>
      <c r="AH107" s="1726">
        <f t="shared" si="8"/>
        <v>5.50670128350142E-5</v>
      </c>
      <c r="AI107" s="1726">
        <f t="shared" si="8"/>
        <v>5.8640584864915532E-5</v>
      </c>
      <c r="AJ107" s="1726">
        <f t="shared" si="8"/>
        <v>6.3052900975069188E-5</v>
      </c>
      <c r="AK107" s="1726">
        <f t="shared" si="8"/>
        <v>6.6892769382864136E-5</v>
      </c>
      <c r="AL107" s="1726">
        <f t="shared" si="8"/>
        <v>7.0764145343318397E-5</v>
      </c>
      <c r="AM107" s="1726"/>
    </row>
    <row r="108" spans="1:39" ht="15.75" customHeight="1" x14ac:dyDescent="0.25">
      <c r="A108" s="3"/>
      <c r="B108" s="3" t="str">
        <f t="shared" si="5"/>
        <v>Refrigeration and air-conditioning</v>
      </c>
      <c r="C108" s="3" t="str">
        <f t="shared" si="5"/>
        <v>CO2</v>
      </c>
      <c r="D108" s="3" t="str">
        <f t="shared" si="5"/>
        <v>Carbon Dioxide</v>
      </c>
      <c r="E108" s="1728">
        <f t="shared" si="7"/>
        <v>1</v>
      </c>
      <c r="F108" s="1726">
        <f t="shared" si="8"/>
        <v>0</v>
      </c>
      <c r="G108" s="1726">
        <f t="shared" si="8"/>
        <v>0</v>
      </c>
      <c r="H108" s="1726">
        <f t="shared" si="8"/>
        <v>0</v>
      </c>
      <c r="I108" s="1726">
        <f t="shared" si="8"/>
        <v>0</v>
      </c>
      <c r="J108" s="1726">
        <f t="shared" si="8"/>
        <v>0</v>
      </c>
      <c r="K108" s="1726">
        <f t="shared" si="8"/>
        <v>0</v>
      </c>
      <c r="L108" s="1726">
        <f t="shared" si="8"/>
        <v>0</v>
      </c>
      <c r="M108" s="1726">
        <f t="shared" si="8"/>
        <v>0</v>
      </c>
      <c r="N108" s="1726">
        <f t="shared" si="8"/>
        <v>0</v>
      </c>
      <c r="O108" s="1726">
        <f t="shared" si="8"/>
        <v>0</v>
      </c>
      <c r="P108" s="1726">
        <f t="shared" si="8"/>
        <v>0</v>
      </c>
      <c r="Q108" s="1726">
        <f t="shared" si="8"/>
        <v>0</v>
      </c>
      <c r="R108" s="1726">
        <f t="shared" si="8"/>
        <v>0</v>
      </c>
      <c r="S108" s="1726">
        <f t="shared" si="8"/>
        <v>0</v>
      </c>
      <c r="T108" s="1726">
        <f t="shared" si="8"/>
        <v>0</v>
      </c>
      <c r="U108" s="1726">
        <f t="shared" si="8"/>
        <v>0</v>
      </c>
      <c r="V108" s="1726">
        <f t="shared" si="8"/>
        <v>0</v>
      </c>
      <c r="W108" s="1726">
        <f t="shared" si="8"/>
        <v>0</v>
      </c>
      <c r="X108" s="1726">
        <f t="shared" si="8"/>
        <v>0</v>
      </c>
      <c r="Y108" s="1726">
        <f t="shared" si="8"/>
        <v>0</v>
      </c>
      <c r="Z108" s="1726">
        <f t="shared" si="8"/>
        <v>0</v>
      </c>
      <c r="AA108" s="1726">
        <f t="shared" si="8"/>
        <v>0</v>
      </c>
      <c r="AB108" s="1726">
        <f t="shared" si="8"/>
        <v>3.70462863680154E-10</v>
      </c>
      <c r="AC108" s="1726">
        <f t="shared" si="8"/>
        <v>1.1108583319757149E-9</v>
      </c>
      <c r="AD108" s="1726">
        <f t="shared" si="8"/>
        <v>1.2944556663871841E-9</v>
      </c>
      <c r="AE108" s="1726">
        <f t="shared" si="8"/>
        <v>2.3984260362871581E-9</v>
      </c>
      <c r="AF108" s="1726">
        <f t="shared" si="8"/>
        <v>2.940498638410223E-9</v>
      </c>
      <c r="AG108" s="1726">
        <f t="shared" si="8"/>
        <v>6.4163774596117491E-9</v>
      </c>
      <c r="AH108" s="1726">
        <f t="shared" si="8"/>
        <v>1.353233746433338E-8</v>
      </c>
      <c r="AI108" s="1726">
        <f t="shared" si="8"/>
        <v>2.4263685619281551E-8</v>
      </c>
      <c r="AJ108" s="1726">
        <f t="shared" si="8"/>
        <v>3.9230959730470671E-8</v>
      </c>
      <c r="AK108" s="1726">
        <f t="shared" si="8"/>
        <v>5.8312306612808159E-8</v>
      </c>
      <c r="AL108" s="1726">
        <f t="shared" si="8"/>
        <v>8.8385301478315641E-8</v>
      </c>
      <c r="AM108" s="1726"/>
    </row>
    <row r="109" spans="1:39" ht="15.75" customHeight="1" x14ac:dyDescent="0.25">
      <c r="A109" s="3"/>
      <c r="B109" s="3" t="str">
        <f t="shared" si="5"/>
        <v>Fire protection</v>
      </c>
      <c r="C109" s="3" t="str">
        <f t="shared" si="5"/>
        <v>HFC</v>
      </c>
      <c r="D109" s="3" t="str">
        <f t="shared" si="5"/>
        <v>HFC-125</v>
      </c>
      <c r="E109" s="1728">
        <f t="shared" si="7"/>
        <v>2.1261829652996846</v>
      </c>
      <c r="F109" s="1726">
        <f t="shared" si="8"/>
        <v>0</v>
      </c>
      <c r="G109" s="1726">
        <f t="shared" si="8"/>
        <v>0</v>
      </c>
      <c r="H109" s="1726">
        <f t="shared" si="8"/>
        <v>0</v>
      </c>
      <c r="I109" s="1726">
        <f t="shared" si="8"/>
        <v>0</v>
      </c>
      <c r="J109" s="1726">
        <f t="shared" si="8"/>
        <v>0</v>
      </c>
      <c r="K109" s="1726">
        <f t="shared" si="8"/>
        <v>0</v>
      </c>
      <c r="L109" s="1726">
        <f t="shared" si="8"/>
        <v>0</v>
      </c>
      <c r="M109" s="1726">
        <f t="shared" si="8"/>
        <v>5.7571990095128003E-5</v>
      </c>
      <c r="N109" s="1726">
        <f t="shared" si="8"/>
        <v>1.8483238300851502E-4</v>
      </c>
      <c r="O109" s="1726">
        <f t="shared" si="8"/>
        <v>3.9611648142284306E-4</v>
      </c>
      <c r="P109" s="1726">
        <f t="shared" si="8"/>
        <v>6.6493284392299152E-4</v>
      </c>
      <c r="Q109" s="1726">
        <f t="shared" si="8"/>
        <v>1.1052573519378483E-3</v>
      </c>
      <c r="R109" s="1726">
        <f t="shared" si="8"/>
        <v>1.7047470015383282E-3</v>
      </c>
      <c r="S109" s="1726">
        <f t="shared" si="8"/>
        <v>2.3036362702622817E-3</v>
      </c>
      <c r="T109" s="1726">
        <f t="shared" si="8"/>
        <v>2.9638695676202451E-3</v>
      </c>
      <c r="U109" s="1726">
        <f t="shared" si="8"/>
        <v>3.6841870851524413E-3</v>
      </c>
      <c r="V109" s="1726">
        <f t="shared" si="8"/>
        <v>4.4548546307282087E-3</v>
      </c>
      <c r="W109" s="1726">
        <f t="shared" si="8"/>
        <v>5.2130733238023473E-3</v>
      </c>
      <c r="X109" s="1726">
        <f t="shared" si="8"/>
        <v>5.9591261537047802E-3</v>
      </c>
      <c r="Y109" s="1726">
        <f t="shared" si="8"/>
        <v>5.4487094206791559E-3</v>
      </c>
      <c r="Z109" s="1726">
        <f t="shared" si="8"/>
        <v>5.8520639600508463E-3</v>
      </c>
      <c r="AA109" s="1726">
        <f t="shared" si="8"/>
        <v>6.8651016120935427E-3</v>
      </c>
      <c r="AB109" s="1726">
        <f t="shared" si="8"/>
        <v>8.1315806978888294E-3</v>
      </c>
      <c r="AC109" s="1726">
        <f t="shared" si="8"/>
        <v>9.0795182214264501E-3</v>
      </c>
      <c r="AD109" s="1726">
        <f t="shared" si="8"/>
        <v>1.1376499910347646E-2</v>
      </c>
      <c r="AE109" s="1726">
        <f t="shared" si="8"/>
        <v>1.114275687659687E-2</v>
      </c>
      <c r="AF109" s="1726">
        <f t="shared" si="8"/>
        <v>1.3124379754322983E-2</v>
      </c>
      <c r="AG109" s="1726">
        <f t="shared" si="8"/>
        <v>1.176742624873031E-2</v>
      </c>
      <c r="AH109" s="1726">
        <f t="shared" si="8"/>
        <v>1.3770671150712809E-2</v>
      </c>
      <c r="AI109" s="1726">
        <f t="shared" si="8"/>
        <v>1.3012995875237405E-2</v>
      </c>
      <c r="AJ109" s="1726">
        <f t="shared" si="8"/>
        <v>1.4877406661998079E-2</v>
      </c>
      <c r="AK109" s="1726">
        <f t="shared" si="8"/>
        <v>1.5441254031824494E-2</v>
      </c>
      <c r="AL109" s="1726">
        <f t="shared" si="8"/>
        <v>1.5998522550147595E-2</v>
      </c>
      <c r="AM109" s="1726"/>
    </row>
    <row r="110" spans="1:39" ht="15.75" customHeight="1" x14ac:dyDescent="0.25">
      <c r="A110" s="3"/>
      <c r="B110" s="3" t="str">
        <f t="shared" si="5"/>
        <v>Refrigeration and air-conditioning</v>
      </c>
      <c r="C110" s="3" t="str">
        <f t="shared" si="5"/>
        <v>HFC</v>
      </c>
      <c r="D110" s="3" t="str">
        <f t="shared" si="5"/>
        <v>HFC-125</v>
      </c>
      <c r="E110" s="1728">
        <f t="shared" si="7"/>
        <v>2.1261829652996846</v>
      </c>
      <c r="F110" s="1726">
        <f t="shared" si="8"/>
        <v>4.4290087025206964E-6</v>
      </c>
      <c r="G110" s="1726">
        <f t="shared" si="8"/>
        <v>1.0909506577744313E-5</v>
      </c>
      <c r="H110" s="1726">
        <f t="shared" si="8"/>
        <v>2.0917088739137484E-5</v>
      </c>
      <c r="I110" s="1726">
        <f t="shared" si="8"/>
        <v>3.8957628337709968E-3</v>
      </c>
      <c r="J110" s="1726">
        <f t="shared" si="8"/>
        <v>1.0360613347387812E-2</v>
      </c>
      <c r="K110" s="1726">
        <f t="shared" si="8"/>
        <v>2.1959021848456228E-2</v>
      </c>
      <c r="L110" s="1726">
        <f t="shared" si="8"/>
        <v>3.7377949140363957E-2</v>
      </c>
      <c r="M110" s="1726">
        <f t="shared" si="8"/>
        <v>5.7694503290050443E-2</v>
      </c>
      <c r="N110" s="1726">
        <f t="shared" si="8"/>
        <v>7.5441127688635784E-2</v>
      </c>
      <c r="O110" s="1726">
        <f t="shared" si="8"/>
        <v>9.8735241306496094E-2</v>
      </c>
      <c r="P110" s="1726">
        <f t="shared" si="8"/>
        <v>0.11800271401129606</v>
      </c>
      <c r="Q110" s="1726">
        <f t="shared" si="8"/>
        <v>0.14357802940514391</v>
      </c>
      <c r="R110" s="1726">
        <f t="shared" si="8"/>
        <v>0.1742768157574226</v>
      </c>
      <c r="S110" s="1726">
        <f t="shared" si="8"/>
        <v>0.2080106369577765</v>
      </c>
      <c r="T110" s="1726">
        <f t="shared" si="8"/>
        <v>0.24275140421094576</v>
      </c>
      <c r="U110" s="1726">
        <f t="shared" si="8"/>
        <v>0.30517976168055727</v>
      </c>
      <c r="V110" s="1726">
        <f t="shared" si="8"/>
        <v>0.38477102380691625</v>
      </c>
      <c r="W110" s="1726">
        <f t="shared" si="8"/>
        <v>0.48751095517876009</v>
      </c>
      <c r="X110" s="1726">
        <f t="shared" si="8"/>
        <v>0.59767345353103674</v>
      </c>
      <c r="Y110" s="1726">
        <f t="shared" si="8"/>
        <v>0.58690525829513485</v>
      </c>
      <c r="Z110" s="1726">
        <f t="shared" si="8"/>
        <v>0.67900030042270687</v>
      </c>
      <c r="AA110" s="1726">
        <f t="shared" si="8"/>
        <v>0.83811505955745813</v>
      </c>
      <c r="AB110" s="1726">
        <f t="shared" si="8"/>
        <v>1.0222672570740119</v>
      </c>
      <c r="AC110" s="1726">
        <f t="shared" si="8"/>
        <v>1.1710677898250417</v>
      </c>
      <c r="AD110" s="1726">
        <f t="shared" si="8"/>
        <v>1.4961260910481193</v>
      </c>
      <c r="AE110" s="1726">
        <f t="shared" si="8"/>
        <v>1.4830083013932445</v>
      </c>
      <c r="AF110" s="1726">
        <f t="shared" si="8"/>
        <v>1.7717247215982996</v>
      </c>
      <c r="AG110" s="1726">
        <f t="shared" si="8"/>
        <v>1.5978745787807784</v>
      </c>
      <c r="AH110" s="1726">
        <f t="shared" si="8"/>
        <v>1.8933909899415458</v>
      </c>
      <c r="AI110" s="1726">
        <f t="shared" si="8"/>
        <v>1.8436750088781966</v>
      </c>
      <c r="AJ110" s="1726">
        <f t="shared" si="8"/>
        <v>2.2150877790672681</v>
      </c>
      <c r="AK110" s="1726">
        <f t="shared" si="8"/>
        <v>2.547093622214768</v>
      </c>
      <c r="AL110" s="1726">
        <f t="shared" si="8"/>
        <v>2.7698784480005774</v>
      </c>
      <c r="AM110" s="1726"/>
    </row>
    <row r="111" spans="1:39" ht="15.75" customHeight="1" x14ac:dyDescent="0.25">
      <c r="A111" s="3"/>
      <c r="B111" s="3" t="str">
        <f t="shared" si="5"/>
        <v>Foam blowing agents</v>
      </c>
      <c r="C111" s="3" t="str">
        <f t="shared" si="5"/>
        <v>HFC</v>
      </c>
      <c r="D111" s="3" t="str">
        <f t="shared" si="5"/>
        <v>HFC-134a</v>
      </c>
      <c r="E111" s="1728">
        <f t="shared" si="7"/>
        <v>3.1846153846153844</v>
      </c>
      <c r="F111" s="1726">
        <f t="shared" si="8"/>
        <v>0</v>
      </c>
      <c r="G111" s="1726">
        <f t="shared" si="8"/>
        <v>0</v>
      </c>
      <c r="H111" s="1726">
        <f t="shared" si="8"/>
        <v>0</v>
      </c>
      <c r="I111" s="1726">
        <f t="shared" si="8"/>
        <v>0</v>
      </c>
      <c r="J111" s="1726">
        <f t="shared" si="8"/>
        <v>0</v>
      </c>
      <c r="K111" s="1726">
        <f t="shared" si="8"/>
        <v>0</v>
      </c>
      <c r="L111" s="1726">
        <f t="shared" si="8"/>
        <v>1.4994128497872504E-3</v>
      </c>
      <c r="M111" s="1726">
        <f t="shared" si="8"/>
        <v>3.1017696015334249E-3</v>
      </c>
      <c r="N111" s="1726">
        <f t="shared" si="8"/>
        <v>4.8318186145940092E-3</v>
      </c>
      <c r="O111" s="1726">
        <f t="shared" si="8"/>
        <v>6.6528061640714932E-3</v>
      </c>
      <c r="P111" s="1726">
        <f t="shared" si="8"/>
        <v>7.1963498948814063E-3</v>
      </c>
      <c r="Q111" s="1726">
        <f t="shared" si="8"/>
        <v>7.8020888380688691E-3</v>
      </c>
      <c r="R111" s="1726">
        <f t="shared" si="8"/>
        <v>3.0801386629166223E-2</v>
      </c>
      <c r="S111" s="1726">
        <f t="shared" si="8"/>
        <v>5.7282043067013629E-2</v>
      </c>
      <c r="T111" s="1726">
        <f t="shared" si="8"/>
        <v>6.3844046750419936E-2</v>
      </c>
      <c r="U111" s="1726">
        <f t="shared" si="8"/>
        <v>7.0685939462044892E-2</v>
      </c>
      <c r="V111" s="1726">
        <f t="shared" si="8"/>
        <v>7.7615713170384459E-2</v>
      </c>
      <c r="W111" s="1726">
        <f t="shared" si="8"/>
        <v>8.4782618123570727E-2</v>
      </c>
      <c r="X111" s="1726">
        <f t="shared" si="8"/>
        <v>9.1809561376609172E-2</v>
      </c>
      <c r="Y111" s="1726">
        <f t="shared" si="8"/>
        <v>0.15865361870751421</v>
      </c>
      <c r="Z111" s="1726">
        <f t="shared" si="8"/>
        <v>0.20546520687063527</v>
      </c>
      <c r="AA111" s="1726">
        <f t="shared" si="8"/>
        <v>0.22268142283954873</v>
      </c>
      <c r="AB111" s="1726">
        <f t="shared" si="8"/>
        <v>0.2404139897899035</v>
      </c>
      <c r="AC111" s="1726">
        <f t="shared" si="8"/>
        <v>0.32773143893867596</v>
      </c>
      <c r="AD111" s="1726">
        <f t="shared" si="8"/>
        <v>0.40068349054478791</v>
      </c>
      <c r="AE111" s="1726">
        <f t="shared" si="8"/>
        <v>0.40264353733861563</v>
      </c>
      <c r="AF111" s="1726">
        <f t="shared" si="8"/>
        <v>0.38980725810102657</v>
      </c>
      <c r="AG111" s="1726">
        <f t="shared" si="8"/>
        <v>0.34019277959174604</v>
      </c>
      <c r="AH111" s="1726">
        <f t="shared" si="8"/>
        <v>0.38272555204845199</v>
      </c>
      <c r="AI111" s="1726">
        <f t="shared" si="8"/>
        <v>0.37348533888794161</v>
      </c>
      <c r="AJ111" s="1726">
        <f t="shared" si="8"/>
        <v>0.40998230976859645</v>
      </c>
      <c r="AK111" s="1726">
        <f t="shared" si="8"/>
        <v>0.21815095156291026</v>
      </c>
      <c r="AL111" s="1726">
        <f t="shared" si="8"/>
        <v>0.23293601745876527</v>
      </c>
      <c r="AM111" s="1726"/>
    </row>
    <row r="112" spans="1:39" ht="15.75" customHeight="1" x14ac:dyDescent="0.25">
      <c r="A112" s="3"/>
      <c r="B112" s="3" t="str">
        <f t="shared" si="5"/>
        <v>Metered does inhalers</v>
      </c>
      <c r="C112" s="3" t="str">
        <f t="shared" si="5"/>
        <v>HFC</v>
      </c>
      <c r="D112" s="3" t="str">
        <f t="shared" si="5"/>
        <v>HFC-134a</v>
      </c>
      <c r="E112" s="1728">
        <f t="shared" si="7"/>
        <v>3.1846153846153844</v>
      </c>
      <c r="F112" s="1726">
        <f t="shared" si="8"/>
        <v>0</v>
      </c>
      <c r="G112" s="1726">
        <f t="shared" si="8"/>
        <v>0</v>
      </c>
      <c r="H112" s="1726">
        <f t="shared" si="8"/>
        <v>0</v>
      </c>
      <c r="I112" s="1726">
        <f t="shared" si="8"/>
        <v>0</v>
      </c>
      <c r="J112" s="1726">
        <f t="shared" si="8"/>
        <v>0</v>
      </c>
      <c r="K112" s="1726">
        <f t="shared" si="8"/>
        <v>0</v>
      </c>
      <c r="L112" s="1726">
        <f t="shared" si="8"/>
        <v>0</v>
      </c>
      <c r="M112" s="1726">
        <f t="shared" si="8"/>
        <v>1.0265856810236431E-3</v>
      </c>
      <c r="N112" s="1726">
        <f t="shared" si="8"/>
        <v>2.0786189220123263E-3</v>
      </c>
      <c r="O112" s="1726">
        <f t="shared" si="8"/>
        <v>3.1542956911043947E-3</v>
      </c>
      <c r="P112" s="1726">
        <f t="shared" si="8"/>
        <v>4.3679136644395287E-3</v>
      </c>
      <c r="Q112" s="1726">
        <f t="shared" si="8"/>
        <v>9.9892484359226531E-3</v>
      </c>
      <c r="R112" s="1726">
        <f t="shared" si="8"/>
        <v>1.578843026236286E-2</v>
      </c>
      <c r="S112" s="1726">
        <f t="shared" si="8"/>
        <v>2.1731762555677086E-2</v>
      </c>
      <c r="T112" s="1726">
        <f t="shared" si="8"/>
        <v>2.7859797127108493E-2</v>
      </c>
      <c r="U112" s="1726">
        <f t="shared" si="8"/>
        <v>3.4165564147281502E-2</v>
      </c>
      <c r="V112" s="1726">
        <f t="shared" si="8"/>
        <v>4.0574395420222648E-2</v>
      </c>
      <c r="W112" s="1726">
        <f t="shared" si="8"/>
        <v>4.7044960782378471E-2</v>
      </c>
      <c r="X112" s="1726">
        <f t="shared" si="8"/>
        <v>5.2401470091679676E-2</v>
      </c>
      <c r="Y112" s="1726">
        <f t="shared" si="8"/>
        <v>5.6894316619321442E-2</v>
      </c>
      <c r="Z112" s="1726">
        <f t="shared" si="8"/>
        <v>5.426580242259349E-2</v>
      </c>
      <c r="AA112" s="1726">
        <f t="shared" si="8"/>
        <v>5.9132882557285528E-2</v>
      </c>
      <c r="AB112" s="1726">
        <f t="shared" si="8"/>
        <v>5.5474906311914755E-2</v>
      </c>
      <c r="AC112" s="1726">
        <f t="shared" si="8"/>
        <v>6.5038510771174687E-2</v>
      </c>
      <c r="AD112" s="1726">
        <f t="shared" si="8"/>
        <v>6.782057743302472E-2</v>
      </c>
      <c r="AE112" s="1726">
        <f t="shared" si="8"/>
        <v>5.728341571504908E-2</v>
      </c>
      <c r="AF112" s="1726">
        <f t="shared" si="8"/>
        <v>6.6850937334274177E-2</v>
      </c>
      <c r="AG112" s="1726">
        <f t="shared" si="8"/>
        <v>7.0599217449688653E-2</v>
      </c>
      <c r="AH112" s="1726">
        <f t="shared" si="8"/>
        <v>9.1173364340307886E-2</v>
      </c>
      <c r="AI112" s="1726">
        <f t="shared" si="8"/>
        <v>8.979497822286503E-2</v>
      </c>
      <c r="AJ112" s="1726">
        <f t="shared" si="8"/>
        <v>0.10167238843379695</v>
      </c>
      <c r="AK112" s="1726">
        <f t="shared" si="8"/>
        <v>0.10330924319311868</v>
      </c>
      <c r="AL112" s="1726">
        <f t="shared" si="8"/>
        <v>6.2913262544123008E-2</v>
      </c>
      <c r="AM112" s="1726"/>
    </row>
    <row r="113" spans="1:39" ht="15.75" customHeight="1" x14ac:dyDescent="0.25">
      <c r="A113" s="3"/>
      <c r="B113" s="3" t="str">
        <f t="shared" si="5"/>
        <v>Other Aerosols</v>
      </c>
      <c r="C113" s="3" t="str">
        <f t="shared" si="5"/>
        <v>HFC</v>
      </c>
      <c r="D113" s="3" t="str">
        <f t="shared" si="5"/>
        <v>HFC-134a</v>
      </c>
      <c r="E113" s="1728">
        <f t="shared" si="7"/>
        <v>3.1846153846153844</v>
      </c>
      <c r="F113" s="1726">
        <f t="shared" si="8"/>
        <v>0</v>
      </c>
      <c r="G113" s="1726">
        <f t="shared" si="8"/>
        <v>0</v>
      </c>
      <c r="H113" s="1726">
        <f t="shared" si="8"/>
        <v>0</v>
      </c>
      <c r="I113" s="1726">
        <f t="shared" si="8"/>
        <v>0</v>
      </c>
      <c r="J113" s="1726">
        <f t="shared" si="8"/>
        <v>3.8943810087723914E-2</v>
      </c>
      <c r="K113" s="1726">
        <f t="shared" si="8"/>
        <v>0.42029295827454571</v>
      </c>
      <c r="L113" s="1726">
        <f t="shared" si="8"/>
        <v>0.48478290479697267</v>
      </c>
      <c r="M113" s="1726">
        <f t="shared" si="8"/>
        <v>0.52268286431414135</v>
      </c>
      <c r="N113" s="1726">
        <f t="shared" si="8"/>
        <v>0.52231289996806307</v>
      </c>
      <c r="O113" s="1726">
        <f t="shared" si="8"/>
        <v>0.53864648080058863</v>
      </c>
      <c r="P113" s="1726">
        <f t="shared" si="8"/>
        <v>0.5470518919529499</v>
      </c>
      <c r="Q113" s="1726">
        <f t="shared" si="8"/>
        <v>0.51989894837310457</v>
      </c>
      <c r="R113" s="1726">
        <f t="shared" si="8"/>
        <v>0.48835553827244776</v>
      </c>
      <c r="S113" s="1726">
        <f t="shared" si="8"/>
        <v>0.45541103282404799</v>
      </c>
      <c r="T113" s="1726">
        <f t="shared" si="8"/>
        <v>0.4181300298096759</v>
      </c>
      <c r="U113" s="1726">
        <f t="shared" si="8"/>
        <v>0.37962523803022785</v>
      </c>
      <c r="V113" s="1726">
        <f t="shared" si="8"/>
        <v>0.41017577893858392</v>
      </c>
      <c r="W113" s="1726">
        <f t="shared" si="8"/>
        <v>0.44387890371708605</v>
      </c>
      <c r="X113" s="1726">
        <f t="shared" si="8"/>
        <v>0.47419420291616937</v>
      </c>
      <c r="Y113" s="1726">
        <f t="shared" si="8"/>
        <v>0.52625509984855756</v>
      </c>
      <c r="Z113" s="1726">
        <f t="shared" si="8"/>
        <v>0.51341952253366885</v>
      </c>
      <c r="AA113" s="1726">
        <f t="shared" si="8"/>
        <v>0.54912611935361411</v>
      </c>
      <c r="AB113" s="1726">
        <f t="shared" si="8"/>
        <v>0.58140245865499718</v>
      </c>
      <c r="AC113" s="1726">
        <f t="shared" si="8"/>
        <v>0.77180732496401416</v>
      </c>
      <c r="AD113" s="1726">
        <f t="shared" ref="AD113:AL113" si="9">AD23*$E113</f>
        <v>0.91490094759191665</v>
      </c>
      <c r="AE113" s="1726">
        <f t="shared" si="9"/>
        <v>0.89195955600412036</v>
      </c>
      <c r="AF113" s="1726">
        <f t="shared" si="9"/>
        <v>0.75237300162752141</v>
      </c>
      <c r="AG113" s="1726">
        <f t="shared" si="9"/>
        <v>0.59016718098948517</v>
      </c>
      <c r="AH113" s="1726">
        <f t="shared" si="9"/>
        <v>0.57045971781607463</v>
      </c>
      <c r="AI113" s="1726">
        <f t="shared" si="9"/>
        <v>0.56538812393734894</v>
      </c>
      <c r="AJ113" s="1726">
        <f t="shared" si="9"/>
        <v>0.64422032473717783</v>
      </c>
      <c r="AK113" s="1726">
        <f t="shared" si="9"/>
        <v>0.65873240261207622</v>
      </c>
      <c r="AL113" s="1726">
        <f t="shared" si="9"/>
        <v>0.67271607152104895</v>
      </c>
      <c r="AM113" s="1726"/>
    </row>
    <row r="114" spans="1:39" ht="15.75" customHeight="1" x14ac:dyDescent="0.25">
      <c r="A114" s="3"/>
      <c r="B114" s="3" t="str">
        <f t="shared" si="5"/>
        <v>Refrigeration and air-conditioning</v>
      </c>
      <c r="C114" s="3" t="str">
        <f t="shared" si="5"/>
        <v>HFC</v>
      </c>
      <c r="D114" s="3" t="str">
        <f t="shared" si="5"/>
        <v>HFC-134a</v>
      </c>
      <c r="E114" s="1728">
        <f t="shared" si="7"/>
        <v>3.1846153846153844</v>
      </c>
      <c r="F114" s="1726">
        <f t="shared" ref="F114:AL121" si="10">F24*$E114</f>
        <v>2.3325405009276472E-7</v>
      </c>
      <c r="G114" s="1726">
        <f t="shared" si="10"/>
        <v>5.7454991956196686E-7</v>
      </c>
      <c r="H114" s="1726">
        <f t="shared" si="10"/>
        <v>5.5111260818336824E-2</v>
      </c>
      <c r="I114" s="1726">
        <f t="shared" si="10"/>
        <v>0.23860955184777166</v>
      </c>
      <c r="J114" s="1726">
        <f t="shared" si="10"/>
        <v>0.58005761805182621</v>
      </c>
      <c r="K114" s="1726">
        <f t="shared" si="10"/>
        <v>0.91864643083378039</v>
      </c>
      <c r="L114" s="1726">
        <f t="shared" si="10"/>
        <v>1.3314291087187682</v>
      </c>
      <c r="M114" s="1726">
        <f t="shared" si="10"/>
        <v>1.7616925694515753</v>
      </c>
      <c r="N114" s="1726">
        <f t="shared" si="10"/>
        <v>2.0674437487059252</v>
      </c>
      <c r="O114" s="1726">
        <f t="shared" si="10"/>
        <v>2.3763116602243386</v>
      </c>
      <c r="P114" s="1726">
        <f t="shared" si="10"/>
        <v>2.6702401286833868</v>
      </c>
      <c r="Q114" s="1726">
        <f t="shared" si="10"/>
        <v>2.9651376940558425</v>
      </c>
      <c r="R114" s="1726">
        <f t="shared" si="10"/>
        <v>3.1052498239825606</v>
      </c>
      <c r="S114" s="1726">
        <f t="shared" si="10"/>
        <v>3.2085106430258623</v>
      </c>
      <c r="T114" s="1726">
        <f t="shared" si="10"/>
        <v>3.3237533661465339</v>
      </c>
      <c r="U114" s="1726">
        <f t="shared" si="10"/>
        <v>3.4006257358061256</v>
      </c>
      <c r="V114" s="1726">
        <f t="shared" si="10"/>
        <v>3.4689016306143539</v>
      </c>
      <c r="W114" s="1726">
        <f t="shared" si="10"/>
        <v>3.5214729843070822</v>
      </c>
      <c r="X114" s="1726">
        <f t="shared" si="10"/>
        <v>3.5932496555941342</v>
      </c>
      <c r="Y114" s="1726">
        <f t="shared" si="10"/>
        <v>3.5319795649254666</v>
      </c>
      <c r="Z114" s="1726">
        <f t="shared" si="10"/>
        <v>2.9552494824640174</v>
      </c>
      <c r="AA114" s="1726">
        <f t="shared" si="10"/>
        <v>2.7307864439385705</v>
      </c>
      <c r="AB114" s="1726">
        <f t="shared" si="10"/>
        <v>2.5224068098133605</v>
      </c>
      <c r="AC114" s="1726">
        <f t="shared" si="10"/>
        <v>2.8966967184709769</v>
      </c>
      <c r="AD114" s="1726">
        <f t="shared" si="10"/>
        <v>3.1197486767980602</v>
      </c>
      <c r="AE114" s="1726">
        <f t="shared" si="10"/>
        <v>2.7854238252493237</v>
      </c>
      <c r="AF114" s="1726">
        <f t="shared" si="10"/>
        <v>2.4523635353856914</v>
      </c>
      <c r="AG114" s="1726">
        <f t="shared" si="10"/>
        <v>2.0059578783486374</v>
      </c>
      <c r="AH114" s="1726">
        <f t="shared" si="10"/>
        <v>2.1356195222887218</v>
      </c>
      <c r="AI114" s="1726">
        <f t="shared" si="10"/>
        <v>1.9999667516655215</v>
      </c>
      <c r="AJ114" s="1726">
        <f t="shared" si="10"/>
        <v>2.150360373937755</v>
      </c>
      <c r="AK114" s="1726">
        <f t="shared" si="10"/>
        <v>2.083810323042397</v>
      </c>
      <c r="AL114" s="1726">
        <f t="shared" si="10"/>
        <v>1.9969548429359503</v>
      </c>
      <c r="AM114" s="1726"/>
    </row>
    <row r="115" spans="1:39" ht="15.75" customHeight="1" x14ac:dyDescent="0.25">
      <c r="A115" s="3"/>
      <c r="B115" s="3" t="str">
        <f t="shared" si="5"/>
        <v>Refrigeration and air-conditioning</v>
      </c>
      <c r="C115" s="3" t="str">
        <f t="shared" si="5"/>
        <v>HFC</v>
      </c>
      <c r="D115" s="3" t="str">
        <f t="shared" si="5"/>
        <v>HFC-143a</v>
      </c>
      <c r="E115" s="1728">
        <f t="shared" si="7"/>
        <v>1.6333333333333333</v>
      </c>
      <c r="F115" s="1726">
        <f t="shared" si="10"/>
        <v>6.0826715462537077E-6</v>
      </c>
      <c r="G115" s="1726">
        <f t="shared" si="10"/>
        <v>1.4982798567622121E-5</v>
      </c>
      <c r="H115" s="1726">
        <f t="shared" si="10"/>
        <v>2.8726920412597866E-5</v>
      </c>
      <c r="I115" s="1726">
        <f t="shared" si="10"/>
        <v>2.1538681674767943E-3</v>
      </c>
      <c r="J115" s="1726">
        <f t="shared" si="10"/>
        <v>6.0010770791629215E-3</v>
      </c>
      <c r="K115" s="1726">
        <f t="shared" si="10"/>
        <v>1.498875391862891E-2</v>
      </c>
      <c r="L115" s="1726">
        <f t="shared" si="10"/>
        <v>2.7878513749249861E-2</v>
      </c>
      <c r="M115" s="1726">
        <f t="shared" si="10"/>
        <v>4.6158284532432217E-2</v>
      </c>
      <c r="N115" s="1726">
        <f t="shared" si="10"/>
        <v>6.692485122642329E-2</v>
      </c>
      <c r="O115" s="1726">
        <f t="shared" si="10"/>
        <v>9.5569159328977984E-2</v>
      </c>
      <c r="P115" s="1726">
        <f t="shared" si="10"/>
        <v>0.11784600501418881</v>
      </c>
      <c r="Q115" s="1726">
        <f t="shared" si="10"/>
        <v>0.14597110779723291</v>
      </c>
      <c r="R115" s="1726">
        <f t="shared" si="10"/>
        <v>0.17767859244451373</v>
      </c>
      <c r="S115" s="1726">
        <f t="shared" si="10"/>
        <v>0.21038522560658326</v>
      </c>
      <c r="T115" s="1726">
        <f t="shared" si="10"/>
        <v>0.24051172136164439</v>
      </c>
      <c r="U115" s="1726">
        <f t="shared" si="10"/>
        <v>0.29114549837203457</v>
      </c>
      <c r="V115" s="1726">
        <f t="shared" si="10"/>
        <v>0.34604125529150404</v>
      </c>
      <c r="W115" s="1726">
        <f t="shared" si="10"/>
        <v>0.40776292147567555</v>
      </c>
      <c r="X115" s="1726">
        <f t="shared" si="10"/>
        <v>0.47782023785703753</v>
      </c>
      <c r="Y115" s="1726">
        <f t="shared" si="10"/>
        <v>0.53156306307269607</v>
      </c>
      <c r="Z115" s="1726">
        <f t="shared" si="10"/>
        <v>0.54471077837524662</v>
      </c>
      <c r="AA115" s="1726">
        <f t="shared" si="10"/>
        <v>0.6760164839645173</v>
      </c>
      <c r="AB115" s="1726">
        <f t="shared" si="10"/>
        <v>0.81661582756099371</v>
      </c>
      <c r="AC115" s="1726">
        <f t="shared" si="10"/>
        <v>0.92574737359298953</v>
      </c>
      <c r="AD115" s="1726">
        <f t="shared" si="10"/>
        <v>1.0671266709173433</v>
      </c>
      <c r="AE115" s="1726">
        <f t="shared" si="10"/>
        <v>1.0705194496358459</v>
      </c>
      <c r="AF115" s="1726">
        <f t="shared" si="10"/>
        <v>1.1010979537856569</v>
      </c>
      <c r="AG115" s="1726">
        <f t="shared" si="10"/>
        <v>0.82328090117755082</v>
      </c>
      <c r="AH115" s="1726">
        <f t="shared" si="10"/>
        <v>1.0324198455949543</v>
      </c>
      <c r="AI115" s="1726">
        <f t="shared" si="10"/>
        <v>0.90516012798468048</v>
      </c>
      <c r="AJ115" s="1726">
        <f t="shared" si="10"/>
        <v>0.99541624702854425</v>
      </c>
      <c r="AK115" s="1726">
        <f t="shared" si="10"/>
        <v>0.99886317341314246</v>
      </c>
      <c r="AL115" s="1726">
        <f t="shared" si="10"/>
        <v>0.99422098859343533</v>
      </c>
      <c r="AM115" s="1726"/>
    </row>
    <row r="116" spans="1:39" ht="15.75" customHeight="1" x14ac:dyDescent="0.25">
      <c r="A116" s="3"/>
      <c r="B116" s="3" t="str">
        <f t="shared" si="5"/>
        <v>Fire protection</v>
      </c>
      <c r="C116" s="3" t="str">
        <f t="shared" si="5"/>
        <v>HFC</v>
      </c>
      <c r="D116" s="3" t="str">
        <f t="shared" si="5"/>
        <v>HFC-23</v>
      </c>
      <c r="E116" s="1728">
        <f t="shared" si="7"/>
        <v>1</v>
      </c>
      <c r="F116" s="1726">
        <f t="shared" si="10"/>
        <v>0</v>
      </c>
      <c r="G116" s="1726">
        <f t="shared" si="10"/>
        <v>0</v>
      </c>
      <c r="H116" s="1726">
        <f t="shared" si="10"/>
        <v>0</v>
      </c>
      <c r="I116" s="1726">
        <f t="shared" si="10"/>
        <v>0</v>
      </c>
      <c r="J116" s="1726">
        <f t="shared" si="10"/>
        <v>0</v>
      </c>
      <c r="K116" s="1726">
        <f t="shared" si="10"/>
        <v>9.3036146234324768E-6</v>
      </c>
      <c r="L116" s="1726">
        <f t="shared" si="10"/>
        <v>2.0863174107854798E-5</v>
      </c>
      <c r="M116" s="1726">
        <f t="shared" si="10"/>
        <v>3.9285248301842602E-5</v>
      </c>
      <c r="N116" s="1726">
        <f t="shared" si="10"/>
        <v>5.762449576632511E-5</v>
      </c>
      <c r="O116" s="1726">
        <f t="shared" si="10"/>
        <v>8.2822795964448826E-5</v>
      </c>
      <c r="P116" s="1726">
        <f t="shared" si="10"/>
        <v>1.080885242557396E-4</v>
      </c>
      <c r="Q116" s="1726">
        <f t="shared" si="10"/>
        <v>1.313657066049777E-4</v>
      </c>
      <c r="R116" s="1726">
        <f t="shared" si="10"/>
        <v>1.5256283657628139E-4</v>
      </c>
      <c r="S116" s="1726">
        <f t="shared" si="10"/>
        <v>1.6903747560248619E-4</v>
      </c>
      <c r="T116" s="1726">
        <f t="shared" si="10"/>
        <v>1.852557722608108E-4</v>
      </c>
      <c r="U116" s="1726">
        <f t="shared" si="10"/>
        <v>2.0359600424150949E-4</v>
      </c>
      <c r="V116" s="1726">
        <f t="shared" si="10"/>
        <v>2.1908588182021951E-4</v>
      </c>
      <c r="W116" s="1726">
        <f t="shared" si="10"/>
        <v>2.3642555806566921E-4</v>
      </c>
      <c r="X116" s="1726">
        <f t="shared" si="10"/>
        <v>2.5156468733034262E-4</v>
      </c>
      <c r="Y116" s="1726">
        <f t="shared" si="10"/>
        <v>2.6969387346895552E-4</v>
      </c>
      <c r="Z116" s="1726">
        <f t="shared" si="10"/>
        <v>2.9085115325012397E-4</v>
      </c>
      <c r="AA116" s="1726">
        <f t="shared" si="10"/>
        <v>3.0973479855850972E-4</v>
      </c>
      <c r="AB116" s="1726">
        <f t="shared" si="10"/>
        <v>3.330461144484584E-4</v>
      </c>
      <c r="AC116" s="1726">
        <f t="shared" si="10"/>
        <v>3.5354917845680422E-4</v>
      </c>
      <c r="AD116" s="1726">
        <f t="shared" si="10"/>
        <v>3.7605786330928268E-4</v>
      </c>
      <c r="AE116" s="1726">
        <f t="shared" si="10"/>
        <v>4.0035265374947169E-4</v>
      </c>
      <c r="AF116" s="1726">
        <f t="shared" si="10"/>
        <v>4.2387287872683359E-4</v>
      </c>
      <c r="AG116" s="1726">
        <f t="shared" si="10"/>
        <v>4.5009971253825049E-4</v>
      </c>
      <c r="AH116" s="1726">
        <f t="shared" si="10"/>
        <v>4.7619198320438021E-4</v>
      </c>
      <c r="AI116" s="1726">
        <f t="shared" si="10"/>
        <v>5.0446574040930326E-4</v>
      </c>
      <c r="AJ116" s="1726">
        <f t="shared" si="10"/>
        <v>5.3214126222195246E-4</v>
      </c>
      <c r="AK116" s="1726">
        <f t="shared" si="10"/>
        <v>5.5199864253537782E-4</v>
      </c>
      <c r="AL116" s="1726">
        <f t="shared" si="10"/>
        <v>5.6954536712445038E-4</v>
      </c>
      <c r="AM116" s="1726"/>
    </row>
    <row r="117" spans="1:39" ht="15.75" customHeight="1" x14ac:dyDescent="0.25">
      <c r="A117" s="3"/>
      <c r="B117" s="3" t="str">
        <f t="shared" si="5"/>
        <v>Fire protection</v>
      </c>
      <c r="C117" s="3" t="str">
        <f t="shared" si="5"/>
        <v>HFC</v>
      </c>
      <c r="D117" s="3" t="str">
        <f t="shared" si="5"/>
        <v>HFC-236fa</v>
      </c>
      <c r="E117" s="1728">
        <f t="shared" si="7"/>
        <v>0.92431761786600497</v>
      </c>
      <c r="F117" s="1726">
        <f t="shared" si="10"/>
        <v>0</v>
      </c>
      <c r="G117" s="1726">
        <f t="shared" si="10"/>
        <v>0</v>
      </c>
      <c r="H117" s="1726">
        <f t="shared" si="10"/>
        <v>0</v>
      </c>
      <c r="I117" s="1726">
        <f t="shared" si="10"/>
        <v>0</v>
      </c>
      <c r="J117" s="1726">
        <f t="shared" si="10"/>
        <v>0</v>
      </c>
      <c r="K117" s="1726">
        <f t="shared" si="10"/>
        <v>0</v>
      </c>
      <c r="L117" s="1726">
        <f t="shared" si="10"/>
        <v>0</v>
      </c>
      <c r="M117" s="1726">
        <f t="shared" si="10"/>
        <v>1.8188063605400042E-4</v>
      </c>
      <c r="N117" s="1726">
        <f t="shared" si="10"/>
        <v>5.5393870123757682E-4</v>
      </c>
      <c r="O117" s="1726">
        <f t="shared" si="10"/>
        <v>1.1279039902040268E-3</v>
      </c>
      <c r="P117" s="1726">
        <f t="shared" si="10"/>
        <v>1.7188449298169931E-3</v>
      </c>
      <c r="Q117" s="1726">
        <f t="shared" si="10"/>
        <v>2.3331445337279803E-3</v>
      </c>
      <c r="R117" s="1726">
        <f t="shared" si="10"/>
        <v>2.9720299407815917E-3</v>
      </c>
      <c r="S117" s="1726">
        <f t="shared" si="10"/>
        <v>3.4460433182189787E-3</v>
      </c>
      <c r="T117" s="1726">
        <f t="shared" si="10"/>
        <v>3.7425587741862693E-3</v>
      </c>
      <c r="U117" s="1726">
        <f t="shared" si="10"/>
        <v>3.8517464550600344E-3</v>
      </c>
      <c r="V117" s="1726">
        <f t="shared" si="10"/>
        <v>3.9543885781205884E-3</v>
      </c>
      <c r="W117" s="1726">
        <f t="shared" si="10"/>
        <v>4.0545169106736218E-3</v>
      </c>
      <c r="X117" s="1726">
        <f t="shared" si="10"/>
        <v>4.160518442529521E-3</v>
      </c>
      <c r="Y117" s="1726">
        <f t="shared" si="10"/>
        <v>4.2829108635559455E-3</v>
      </c>
      <c r="Z117" s="1726">
        <f t="shared" si="10"/>
        <v>4.4195412665630658E-3</v>
      </c>
      <c r="AA117" s="1726">
        <f t="shared" si="10"/>
        <v>4.5612889730013793E-3</v>
      </c>
      <c r="AB117" s="1726">
        <f t="shared" si="10"/>
        <v>4.7029519618468196E-3</v>
      </c>
      <c r="AC117" s="1726">
        <f t="shared" si="10"/>
        <v>4.8413983253331599E-3</v>
      </c>
      <c r="AD117" s="1726">
        <f t="shared" si="10"/>
        <v>4.9802794847461519E-3</v>
      </c>
      <c r="AE117" s="1726">
        <f t="shared" si="10"/>
        <v>5.1185732511956662E-3</v>
      </c>
      <c r="AF117" s="1726">
        <f t="shared" si="10"/>
        <v>5.2521348867634382E-3</v>
      </c>
      <c r="AG117" s="1726">
        <f t="shared" si="10"/>
        <v>5.3961642772799683E-3</v>
      </c>
      <c r="AH117" s="1726">
        <f t="shared" si="10"/>
        <v>5.5435128987929103E-3</v>
      </c>
      <c r="AI117" s="1726">
        <f t="shared" si="10"/>
        <v>5.6961191195980965E-3</v>
      </c>
      <c r="AJ117" s="1726">
        <f t="shared" si="10"/>
        <v>5.9236262723732025E-3</v>
      </c>
      <c r="AK117" s="1726">
        <f t="shared" si="10"/>
        <v>6.092937029161076E-3</v>
      </c>
      <c r="AL117" s="1726">
        <f t="shared" si="10"/>
        <v>6.2438817220323148E-3</v>
      </c>
      <c r="AM117" s="1726"/>
    </row>
    <row r="118" spans="1:39" ht="15.75" customHeight="1" x14ac:dyDescent="0.25">
      <c r="A118" s="3"/>
      <c r="B118" s="3" t="str">
        <f t="shared" si="5"/>
        <v>Refrigeration and air-conditioning</v>
      </c>
      <c r="C118" s="3" t="str">
        <f t="shared" si="5"/>
        <v>HFC</v>
      </c>
      <c r="D118" s="3" t="str">
        <f t="shared" si="5"/>
        <v>HFC-236fa</v>
      </c>
      <c r="E118" s="1728">
        <f t="shared" si="7"/>
        <v>0.92431761786600497</v>
      </c>
      <c r="F118" s="1726">
        <f t="shared" si="10"/>
        <v>0</v>
      </c>
      <c r="G118" s="1726">
        <f t="shared" si="10"/>
        <v>0</v>
      </c>
      <c r="H118" s="1726">
        <f t="shared" si="10"/>
        <v>0</v>
      </c>
      <c r="I118" s="1726">
        <f t="shared" si="10"/>
        <v>1.0120891116820127E-3</v>
      </c>
      <c r="J118" s="1726">
        <f t="shared" si="10"/>
        <v>3.0527457275667793E-3</v>
      </c>
      <c r="K118" s="1726">
        <f t="shared" si="10"/>
        <v>5.0600502965382063E-3</v>
      </c>
      <c r="L118" s="1726">
        <f t="shared" si="10"/>
        <v>6.2966125049731727E-3</v>
      </c>
      <c r="M118" s="1726">
        <f t="shared" si="10"/>
        <v>7.5279145701129015E-3</v>
      </c>
      <c r="N118" s="1726">
        <f t="shared" si="10"/>
        <v>8.649752819824762E-3</v>
      </c>
      <c r="O118" s="1726">
        <f t="shared" si="10"/>
        <v>9.6701180336609908E-3</v>
      </c>
      <c r="P118" s="1726">
        <f t="shared" si="10"/>
        <v>1.0601846580776363E-2</v>
      </c>
      <c r="Q118" s="1726">
        <f t="shared" si="10"/>
        <v>1.1458024342195278E-2</v>
      </c>
      <c r="R118" s="1726">
        <f t="shared" si="10"/>
        <v>1.2222820331223736E-2</v>
      </c>
      <c r="S118" s="1726">
        <f t="shared" si="10"/>
        <v>1.2874317669276721E-2</v>
      </c>
      <c r="T118" s="1726">
        <f t="shared" si="10"/>
        <v>1.3400864726008229E-2</v>
      </c>
      <c r="U118" s="1726">
        <f t="shared" si="10"/>
        <v>1.3807072370303618E-2</v>
      </c>
      <c r="V118" s="1726">
        <f t="shared" si="10"/>
        <v>1.4077290803680855E-2</v>
      </c>
      <c r="W118" s="1726">
        <f t="shared" si="10"/>
        <v>1.4217011847664758E-2</v>
      </c>
      <c r="X118" s="1726">
        <f t="shared" si="10"/>
        <v>1.4265027235911986E-2</v>
      </c>
      <c r="Y118" s="1726">
        <f t="shared" si="10"/>
        <v>1.4252110244580687E-2</v>
      </c>
      <c r="Z118" s="1726">
        <f t="shared" si="10"/>
        <v>1.4280952305622064E-2</v>
      </c>
      <c r="AA118" s="1726">
        <f t="shared" si="10"/>
        <v>1.4306926035292027E-2</v>
      </c>
      <c r="AB118" s="1726">
        <f t="shared" si="10"/>
        <v>1.4322751881457783E-2</v>
      </c>
      <c r="AC118" s="1726">
        <f t="shared" si="10"/>
        <v>1.4551781291243541E-2</v>
      </c>
      <c r="AD118" s="1726">
        <f t="shared" si="10"/>
        <v>1.3816659184652597E-2</v>
      </c>
      <c r="AE118" s="1726">
        <f t="shared" si="10"/>
        <v>1.1808180129168086E-2</v>
      </c>
      <c r="AF118" s="1726">
        <f t="shared" si="10"/>
        <v>1.0537129845811117E-2</v>
      </c>
      <c r="AG118" s="1726">
        <f t="shared" si="10"/>
        <v>9.284516516565226E-3</v>
      </c>
      <c r="AH118" s="1726">
        <f t="shared" si="10"/>
        <v>7.9358472930618588E-3</v>
      </c>
      <c r="AI118" s="1726">
        <f t="shared" si="10"/>
        <v>6.6910032034792248E-3</v>
      </c>
      <c r="AJ118" s="1726">
        <f t="shared" si="10"/>
        <v>5.6203783209730464E-3</v>
      </c>
      <c r="AK118" s="1726">
        <f t="shared" si="10"/>
        <v>4.5799810057256668E-3</v>
      </c>
      <c r="AL118" s="1726">
        <f t="shared" si="10"/>
        <v>3.6277225463598227E-3</v>
      </c>
      <c r="AM118" s="1726"/>
    </row>
    <row r="119" spans="1:39" ht="15.75" customHeight="1" x14ac:dyDescent="0.25">
      <c r="A119" s="3"/>
      <c r="B119" s="3" t="str">
        <f t="shared" si="5"/>
        <v>Refrigeration and air-conditioning</v>
      </c>
      <c r="C119" s="3" t="str">
        <f t="shared" si="5"/>
        <v>HFC</v>
      </c>
      <c r="D119" s="3" t="str">
        <f t="shared" si="5"/>
        <v>HFC-32</v>
      </c>
      <c r="E119" s="1728">
        <f t="shared" si="7"/>
        <v>3.9734121122599704</v>
      </c>
      <c r="F119" s="1726">
        <f t="shared" si="10"/>
        <v>0</v>
      </c>
      <c r="G119" s="1726">
        <f t="shared" si="10"/>
        <v>0</v>
      </c>
      <c r="H119" s="1726">
        <f t="shared" si="10"/>
        <v>0</v>
      </c>
      <c r="I119" s="1726">
        <f t="shared" si="10"/>
        <v>0</v>
      </c>
      <c r="J119" s="1726">
        <f t="shared" si="10"/>
        <v>0</v>
      </c>
      <c r="K119" s="1726">
        <f t="shared" si="10"/>
        <v>0</v>
      </c>
      <c r="L119" s="1726">
        <f t="shared" si="10"/>
        <v>1.2106596105091562E-5</v>
      </c>
      <c r="M119" s="1726">
        <f t="shared" si="10"/>
        <v>3.4377210693017245E-5</v>
      </c>
      <c r="N119" s="1726">
        <f t="shared" si="10"/>
        <v>7.3290285380850554E-5</v>
      </c>
      <c r="O119" s="1726">
        <f t="shared" si="10"/>
        <v>1.421957429397253E-4</v>
      </c>
      <c r="P119" s="1726">
        <f t="shared" si="10"/>
        <v>6.5639018015809392E-4</v>
      </c>
      <c r="Q119" s="1726">
        <f t="shared" si="10"/>
        <v>1.6433603848492707E-3</v>
      </c>
      <c r="R119" s="1726">
        <f t="shared" si="10"/>
        <v>3.2253604525814506E-3</v>
      </c>
      <c r="S119" s="1726">
        <f t="shared" si="10"/>
        <v>5.3652108334412566E-3</v>
      </c>
      <c r="T119" s="1726">
        <f t="shared" si="10"/>
        <v>8.215387663612083E-3</v>
      </c>
      <c r="U119" s="1726">
        <f t="shared" si="10"/>
        <v>1.2240076466711622E-2</v>
      </c>
      <c r="V119" s="1726">
        <f t="shared" si="10"/>
        <v>1.9914888257017448E-2</v>
      </c>
      <c r="W119" s="1726">
        <f t="shared" si="10"/>
        <v>2.8566992461242391E-2</v>
      </c>
      <c r="X119" s="1726">
        <f t="shared" si="10"/>
        <v>3.7637700322661095E-2</v>
      </c>
      <c r="Y119" s="1726">
        <f t="shared" si="10"/>
        <v>4.8490918254132924E-2</v>
      </c>
      <c r="Z119" s="1726">
        <f t="shared" si="10"/>
        <v>6.7781254297773749E-2</v>
      </c>
      <c r="AA119" s="1726">
        <f t="shared" si="10"/>
        <v>0.12217703544136803</v>
      </c>
      <c r="AB119" s="1726">
        <f t="shared" si="10"/>
        <v>0.12971529062385095</v>
      </c>
      <c r="AC119" s="1726">
        <f t="shared" si="10"/>
        <v>0.19405204905176154</v>
      </c>
      <c r="AD119" s="1726">
        <f t="shared" si="10"/>
        <v>0.24113529019499533</v>
      </c>
      <c r="AE119" s="1726">
        <f t="shared" si="10"/>
        <v>0.29225928215637215</v>
      </c>
      <c r="AF119" s="1726">
        <f t="shared" si="10"/>
        <v>0.33461691638449109</v>
      </c>
      <c r="AG119" s="1726">
        <f t="shared" si="10"/>
        <v>0.32170617202744833</v>
      </c>
      <c r="AH119" s="1726">
        <f t="shared" si="10"/>
        <v>0.38822324816948878</v>
      </c>
      <c r="AI119" s="1726">
        <f t="shared" si="10"/>
        <v>0.41240101827494574</v>
      </c>
      <c r="AJ119" s="1726">
        <f t="shared" si="10"/>
        <v>0.54884866659151543</v>
      </c>
      <c r="AK119" s="1726">
        <f t="shared" si="10"/>
        <v>0.67010904358996282</v>
      </c>
      <c r="AL119" s="1726">
        <f t="shared" si="10"/>
        <v>0.74899329823056759</v>
      </c>
      <c r="AM119" s="1726"/>
    </row>
    <row r="120" spans="1:39" ht="15.75" customHeight="1" x14ac:dyDescent="0.25">
      <c r="A120" s="3"/>
      <c r="B120" s="3" t="str">
        <f t="shared" si="5"/>
        <v>Fire protection</v>
      </c>
      <c r="C120" s="3" t="str">
        <f t="shared" si="5"/>
        <v>HFC</v>
      </c>
      <c r="D120" s="3" t="str">
        <f t="shared" si="5"/>
        <v>Other HFC</v>
      </c>
      <c r="E120" s="1728">
        <f t="shared" si="7"/>
        <v>3.1510713686054377</v>
      </c>
      <c r="F120" s="1726">
        <f t="shared" si="10"/>
        <v>0</v>
      </c>
      <c r="G120" s="1726">
        <f t="shared" si="10"/>
        <v>0</v>
      </c>
      <c r="H120" s="1726">
        <f t="shared" si="10"/>
        <v>0</v>
      </c>
      <c r="I120" s="1726">
        <f t="shared" si="10"/>
        <v>0</v>
      </c>
      <c r="J120" s="1726">
        <f t="shared" si="10"/>
        <v>2.2034497689914565E-4</v>
      </c>
      <c r="K120" s="1726">
        <f t="shared" si="10"/>
        <v>1.8374733925806764E-3</v>
      </c>
      <c r="L120" s="1726">
        <f t="shared" si="10"/>
        <v>4.4934743300099646E-3</v>
      </c>
      <c r="M120" s="1726">
        <f t="shared" si="10"/>
        <v>8.3726620486651443E-3</v>
      </c>
      <c r="N120" s="1726">
        <f t="shared" si="10"/>
        <v>1.3150822454295819E-2</v>
      </c>
      <c r="O120" s="1726">
        <f t="shared" si="10"/>
        <v>1.9567606543997827E-2</v>
      </c>
      <c r="P120" s="1726">
        <f t="shared" si="10"/>
        <v>2.567819537877869E-2</v>
      </c>
      <c r="Q120" s="1726">
        <f t="shared" si="10"/>
        <v>3.1344154826511171E-2</v>
      </c>
      <c r="R120" s="1726">
        <f t="shared" si="10"/>
        <v>3.6583809903609807E-2</v>
      </c>
      <c r="S120" s="1726">
        <f t="shared" si="10"/>
        <v>4.0755574361690326E-2</v>
      </c>
      <c r="T120" s="1726">
        <f t="shared" si="10"/>
        <v>4.4854063141236966E-2</v>
      </c>
      <c r="U120" s="1726">
        <f t="shared" si="10"/>
        <v>4.8841005393582361E-2</v>
      </c>
      <c r="V120" s="1726">
        <f t="shared" si="10"/>
        <v>5.2628423707945605E-2</v>
      </c>
      <c r="W120" s="1726">
        <f t="shared" si="10"/>
        <v>5.6234024772262761E-2</v>
      </c>
      <c r="X120" s="1726">
        <f t="shared" si="10"/>
        <v>5.9782730023072723E-2</v>
      </c>
      <c r="Y120" s="1726">
        <f t="shared" si="10"/>
        <v>6.3409568161498481E-2</v>
      </c>
      <c r="Z120" s="1726">
        <f t="shared" si="10"/>
        <v>6.7201213380360572E-2</v>
      </c>
      <c r="AA120" s="1726">
        <f t="shared" si="10"/>
        <v>7.0977797197195297E-2</v>
      </c>
      <c r="AB120" s="1726">
        <f t="shared" si="10"/>
        <v>7.4683428142621008E-2</v>
      </c>
      <c r="AC120" s="1726">
        <f t="shared" si="10"/>
        <v>7.8234095017293614E-2</v>
      </c>
      <c r="AD120" s="1726">
        <f t="shared" si="10"/>
        <v>8.1668150918618315E-2</v>
      </c>
      <c r="AE120" s="1726">
        <f t="shared" si="10"/>
        <v>8.4930201087351984E-2</v>
      </c>
      <c r="AF120" s="1726">
        <f t="shared" si="10"/>
        <v>8.795618919410518E-2</v>
      </c>
      <c r="AG120" s="1726">
        <f t="shared" si="10"/>
        <v>9.0983229281760461E-2</v>
      </c>
      <c r="AH120" s="1726">
        <f t="shared" si="10"/>
        <v>9.3876598805508291E-2</v>
      </c>
      <c r="AI120" s="1726">
        <f t="shared" si="10"/>
        <v>9.6628271883523173E-2</v>
      </c>
      <c r="AJ120" s="1726">
        <f t="shared" si="10"/>
        <v>9.9458170183590211E-2</v>
      </c>
      <c r="AK120" s="1726">
        <f t="shared" si="10"/>
        <v>0.10127252258403674</v>
      </c>
      <c r="AL120" s="1726">
        <f t="shared" si="10"/>
        <v>0.1027134051706213</v>
      </c>
      <c r="AM120" s="1726"/>
    </row>
    <row r="121" spans="1:39" ht="15.75" customHeight="1" x14ac:dyDescent="0.25">
      <c r="A121" s="3"/>
      <c r="B121" s="3" t="str">
        <f t="shared" ref="B121:D136" si="11">B31</f>
        <v>Foam blowing agents</v>
      </c>
      <c r="C121" s="3" t="str">
        <f t="shared" si="11"/>
        <v>HFC</v>
      </c>
      <c r="D121" s="3" t="str">
        <f t="shared" si="11"/>
        <v>Other HFC</v>
      </c>
      <c r="E121" s="1728">
        <f t="shared" si="7"/>
        <v>3.1510713686054377</v>
      </c>
      <c r="F121" s="1726">
        <f t="shared" si="10"/>
        <v>0</v>
      </c>
      <c r="G121" s="1726">
        <f t="shared" si="10"/>
        <v>0</v>
      </c>
      <c r="H121" s="1726">
        <f t="shared" si="10"/>
        <v>0</v>
      </c>
      <c r="I121" s="1726">
        <f t="shared" si="10"/>
        <v>0</v>
      </c>
      <c r="J121" s="1726">
        <f t="shared" si="10"/>
        <v>0</v>
      </c>
      <c r="K121" s="1726">
        <f t="shared" si="10"/>
        <v>0</v>
      </c>
      <c r="L121" s="1726">
        <f t="shared" si="10"/>
        <v>0</v>
      </c>
      <c r="M121" s="1726">
        <f t="shared" si="10"/>
        <v>0</v>
      </c>
      <c r="N121" s="1726">
        <f t="shared" si="10"/>
        <v>0</v>
      </c>
      <c r="O121" s="1726">
        <f t="shared" si="10"/>
        <v>0</v>
      </c>
      <c r="P121" s="1726">
        <f t="shared" si="10"/>
        <v>0</v>
      </c>
      <c r="Q121" s="1726">
        <f t="shared" si="10"/>
        <v>0</v>
      </c>
      <c r="R121" s="1726">
        <f t="shared" si="10"/>
        <v>0</v>
      </c>
      <c r="S121" s="1726">
        <f t="shared" si="10"/>
        <v>0</v>
      </c>
      <c r="T121" s="1726">
        <f t="shared" si="10"/>
        <v>0</v>
      </c>
      <c r="U121" s="1726">
        <f t="shared" si="10"/>
        <v>0</v>
      </c>
      <c r="V121" s="1726">
        <f t="shared" si="10"/>
        <v>0</v>
      </c>
      <c r="W121" s="1726">
        <f t="shared" si="10"/>
        <v>0</v>
      </c>
      <c r="X121" s="1726">
        <f t="shared" si="10"/>
        <v>0</v>
      </c>
      <c r="Y121" s="1726">
        <f t="shared" si="10"/>
        <v>0</v>
      </c>
      <c r="Z121" s="1726">
        <f t="shared" si="10"/>
        <v>0</v>
      </c>
      <c r="AA121" s="1726">
        <f t="shared" si="10"/>
        <v>0</v>
      </c>
      <c r="AB121" s="1726">
        <f t="shared" si="10"/>
        <v>0</v>
      </c>
      <c r="AC121" s="1726">
        <f t="shared" si="10"/>
        <v>0</v>
      </c>
      <c r="AD121" s="1726">
        <f t="shared" ref="AD121:AL121" si="12">AD31*$E121</f>
        <v>0</v>
      </c>
      <c r="AE121" s="1726">
        <f t="shared" si="12"/>
        <v>0</v>
      </c>
      <c r="AF121" s="1726">
        <f t="shared" si="12"/>
        <v>0</v>
      </c>
      <c r="AG121" s="1726">
        <f t="shared" si="12"/>
        <v>1.5499473968193162E-5</v>
      </c>
      <c r="AH121" s="1726">
        <f t="shared" si="12"/>
        <v>3.5747866495680514E-5</v>
      </c>
      <c r="AI121" s="1726">
        <f t="shared" si="12"/>
        <v>6.0367376012748783E-5</v>
      </c>
      <c r="AJ121" s="1726">
        <f t="shared" si="12"/>
        <v>9.0824389011100767E-5</v>
      </c>
      <c r="AK121" s="1726">
        <f t="shared" si="12"/>
        <v>1.2529001097817729E-4</v>
      </c>
      <c r="AL121" s="1726">
        <f t="shared" si="12"/>
        <v>1.4230913943980096E-4</v>
      </c>
      <c r="AM121" s="1726"/>
    </row>
    <row r="122" spans="1:39" ht="15.75" customHeight="1" x14ac:dyDescent="0.25">
      <c r="A122" s="3"/>
      <c r="B122" s="3" t="str">
        <f t="shared" si="11"/>
        <v>Foam blowing agents</v>
      </c>
      <c r="C122" s="3" t="str">
        <f t="shared" si="11"/>
        <v>HFC</v>
      </c>
      <c r="D122" s="3" t="str">
        <f t="shared" si="11"/>
        <v>Other HFC</v>
      </c>
      <c r="E122" s="1728">
        <f t="shared" si="7"/>
        <v>3.1510713686054377</v>
      </c>
      <c r="F122" s="1726">
        <f t="shared" ref="F122:AL129" si="13">F32*$E122</f>
        <v>0</v>
      </c>
      <c r="G122" s="1726">
        <f t="shared" si="13"/>
        <v>0</v>
      </c>
      <c r="H122" s="1726">
        <f t="shared" si="13"/>
        <v>0</v>
      </c>
      <c r="I122" s="1726">
        <f t="shared" si="13"/>
        <v>0</v>
      </c>
      <c r="J122" s="1726">
        <f t="shared" si="13"/>
        <v>0</v>
      </c>
      <c r="K122" s="1726">
        <f t="shared" si="13"/>
        <v>0</v>
      </c>
      <c r="L122" s="1726">
        <f t="shared" si="13"/>
        <v>0</v>
      </c>
      <c r="M122" s="1726">
        <f t="shared" si="13"/>
        <v>0</v>
      </c>
      <c r="N122" s="1726">
        <f t="shared" si="13"/>
        <v>0</v>
      </c>
      <c r="O122" s="1726">
        <f t="shared" si="13"/>
        <v>0</v>
      </c>
      <c r="P122" s="1726">
        <f t="shared" si="13"/>
        <v>0</v>
      </c>
      <c r="Q122" s="1726">
        <f t="shared" si="13"/>
        <v>0</v>
      </c>
      <c r="R122" s="1726">
        <f t="shared" si="13"/>
        <v>0</v>
      </c>
      <c r="S122" s="1726">
        <f t="shared" si="13"/>
        <v>0</v>
      </c>
      <c r="T122" s="1726">
        <f t="shared" si="13"/>
        <v>0</v>
      </c>
      <c r="U122" s="1726">
        <f t="shared" si="13"/>
        <v>0</v>
      </c>
      <c r="V122" s="1726">
        <f t="shared" si="13"/>
        <v>0</v>
      </c>
      <c r="W122" s="1726">
        <f t="shared" si="13"/>
        <v>0</v>
      </c>
      <c r="X122" s="1726">
        <f t="shared" si="13"/>
        <v>0</v>
      </c>
      <c r="Y122" s="1726">
        <f t="shared" si="13"/>
        <v>0</v>
      </c>
      <c r="Z122" s="1726">
        <f t="shared" si="13"/>
        <v>0</v>
      </c>
      <c r="AA122" s="1726">
        <f t="shared" si="13"/>
        <v>0</v>
      </c>
      <c r="AB122" s="1726">
        <f t="shared" si="13"/>
        <v>0</v>
      </c>
      <c r="AC122" s="1726">
        <f t="shared" si="13"/>
        <v>0</v>
      </c>
      <c r="AD122" s="1726">
        <f t="shared" si="13"/>
        <v>0</v>
      </c>
      <c r="AE122" s="1726">
        <f t="shared" si="13"/>
        <v>1.0964350385754675E-6</v>
      </c>
      <c r="AF122" s="1726">
        <f t="shared" si="13"/>
        <v>9.4527728129965025E-6</v>
      </c>
      <c r="AG122" s="1726">
        <f t="shared" si="13"/>
        <v>2.6665264744951598E-5</v>
      </c>
      <c r="AH122" s="1726">
        <f t="shared" si="13"/>
        <v>4.2966933688773102E-5</v>
      </c>
      <c r="AI122" s="1726">
        <f t="shared" si="13"/>
        <v>6.2539203485572487E-5</v>
      </c>
      <c r="AJ122" s="1726">
        <f t="shared" si="13"/>
        <v>8.9392027230833298E-5</v>
      </c>
      <c r="AK122" s="1726">
        <f t="shared" si="13"/>
        <v>1.0527210437986706E-4</v>
      </c>
      <c r="AL122" s="1726">
        <f t="shared" si="13"/>
        <v>1.1775427111062295E-4</v>
      </c>
      <c r="AM122" s="1726"/>
    </row>
    <row r="123" spans="1:39" ht="15.75" customHeight="1" x14ac:dyDescent="0.25">
      <c r="A123" s="3"/>
      <c r="B123" s="3" t="str">
        <f t="shared" si="11"/>
        <v>Foam blowing agents</v>
      </c>
      <c r="C123" s="3" t="str">
        <f t="shared" si="11"/>
        <v>HFC</v>
      </c>
      <c r="D123" s="3" t="str">
        <f t="shared" si="11"/>
        <v>Other HFC</v>
      </c>
      <c r="E123" s="1728">
        <f t="shared" si="7"/>
        <v>3.1510713686054377</v>
      </c>
      <c r="F123" s="1726">
        <f t="shared" si="13"/>
        <v>3.9301212549713166E-4</v>
      </c>
      <c r="G123" s="1726">
        <f t="shared" si="13"/>
        <v>6.2131883103694005E-4</v>
      </c>
      <c r="H123" s="1726">
        <f t="shared" si="13"/>
        <v>8.693179903539425E-4</v>
      </c>
      <c r="I123" s="1726">
        <f t="shared" si="13"/>
        <v>1.1377365290470734E-3</v>
      </c>
      <c r="J123" s="1726">
        <f t="shared" si="13"/>
        <v>1.2253811700391295E-3</v>
      </c>
      <c r="K123" s="1726">
        <f t="shared" si="13"/>
        <v>2.2318811930273864E-3</v>
      </c>
      <c r="L123" s="1726">
        <f t="shared" si="13"/>
        <v>3.5739684386170622E-3</v>
      </c>
      <c r="M123" s="1726">
        <f t="shared" si="13"/>
        <v>4.9597734157874936E-3</v>
      </c>
      <c r="N123" s="1726">
        <f t="shared" si="13"/>
        <v>6.3934797139017343E-3</v>
      </c>
      <c r="O123" s="1726">
        <f t="shared" si="13"/>
        <v>7.8795602744110779E-3</v>
      </c>
      <c r="P123" s="1726">
        <f t="shared" si="13"/>
        <v>8.4278697807469924E-3</v>
      </c>
      <c r="Q123" s="1726">
        <f t="shared" si="13"/>
        <v>8.6811167018266203E-3</v>
      </c>
      <c r="R123" s="1726">
        <f t="shared" si="13"/>
        <v>8.9477694293404516E-3</v>
      </c>
      <c r="S123" s="1726">
        <f t="shared" si="13"/>
        <v>9.2093107905731331E-3</v>
      </c>
      <c r="T123" s="1726">
        <f t="shared" si="13"/>
        <v>9.4607012376477437E-3</v>
      </c>
      <c r="U123" s="1726">
        <f t="shared" si="13"/>
        <v>9.4977748179700672E-3</v>
      </c>
      <c r="V123" s="1726">
        <f t="shared" si="13"/>
        <v>9.4950382698214646E-3</v>
      </c>
      <c r="W123" s="1726">
        <f t="shared" si="13"/>
        <v>9.4596971048549229E-3</v>
      </c>
      <c r="X123" s="1726">
        <f t="shared" si="13"/>
        <v>9.4147206018863634E-3</v>
      </c>
      <c r="Y123" s="1726">
        <f t="shared" si="13"/>
        <v>1.0175390928081894E-2</v>
      </c>
      <c r="Z123" s="1726">
        <f t="shared" si="13"/>
        <v>1.0996778048981158E-2</v>
      </c>
      <c r="AA123" s="1726">
        <f t="shared" si="13"/>
        <v>1.1228867207222108E-2</v>
      </c>
      <c r="AB123" s="1726">
        <f t="shared" si="13"/>
        <v>1.1442979121149647E-2</v>
      </c>
      <c r="AC123" s="1726">
        <f t="shared" si="13"/>
        <v>1.1629694640172538E-2</v>
      </c>
      <c r="AD123" s="1726">
        <f t="shared" si="13"/>
        <v>1.1812353545748141E-2</v>
      </c>
      <c r="AE123" s="1726">
        <f t="shared" si="13"/>
        <v>1.1985505799120633E-2</v>
      </c>
      <c r="AF123" s="1726">
        <f t="shared" si="13"/>
        <v>1.2143604229672826E-2</v>
      </c>
      <c r="AG123" s="1726">
        <f t="shared" si="13"/>
        <v>1.2322010751256812E-2</v>
      </c>
      <c r="AH123" s="1726">
        <f t="shared" si="13"/>
        <v>1.250434059146615E-2</v>
      </c>
      <c r="AI123" s="1726">
        <f t="shared" si="13"/>
        <v>1.269167686736046E-2</v>
      </c>
      <c r="AJ123" s="1726">
        <f t="shared" si="13"/>
        <v>1.303794194047524E-2</v>
      </c>
      <c r="AK123" s="1726">
        <f t="shared" si="13"/>
        <v>1.3250662425907743E-2</v>
      </c>
      <c r="AL123" s="1726">
        <f t="shared" si="13"/>
        <v>1.3415112695085883E-2</v>
      </c>
      <c r="AM123" s="1726"/>
    </row>
    <row r="124" spans="1:39" ht="15.75" customHeight="1" x14ac:dyDescent="0.25">
      <c r="A124" s="3"/>
      <c r="B124" s="3" t="str">
        <f t="shared" si="11"/>
        <v>Foam blowing agents</v>
      </c>
      <c r="C124" s="3" t="str">
        <f t="shared" si="11"/>
        <v>HFC</v>
      </c>
      <c r="D124" s="3" t="str">
        <f t="shared" si="11"/>
        <v>Other HFC</v>
      </c>
      <c r="E124" s="1728">
        <f t="shared" si="7"/>
        <v>3.1510713686054377</v>
      </c>
      <c r="F124" s="1726">
        <f t="shared" si="13"/>
        <v>0</v>
      </c>
      <c r="G124" s="1726">
        <f t="shared" si="13"/>
        <v>0</v>
      </c>
      <c r="H124" s="1726">
        <f t="shared" si="13"/>
        <v>0</v>
      </c>
      <c r="I124" s="1726">
        <f t="shared" si="13"/>
        <v>0</v>
      </c>
      <c r="J124" s="1726">
        <f t="shared" si="13"/>
        <v>0</v>
      </c>
      <c r="K124" s="1726">
        <f t="shared" si="13"/>
        <v>0</v>
      </c>
      <c r="L124" s="1726">
        <f t="shared" si="13"/>
        <v>0</v>
      </c>
      <c r="M124" s="1726">
        <f t="shared" si="13"/>
        <v>0</v>
      </c>
      <c r="N124" s="1726">
        <f t="shared" si="13"/>
        <v>0</v>
      </c>
      <c r="O124" s="1726">
        <f t="shared" si="13"/>
        <v>0</v>
      </c>
      <c r="P124" s="1726">
        <f t="shared" si="13"/>
        <v>0</v>
      </c>
      <c r="Q124" s="1726">
        <f t="shared" si="13"/>
        <v>0</v>
      </c>
      <c r="R124" s="1726">
        <f t="shared" si="13"/>
        <v>0</v>
      </c>
      <c r="S124" s="1726">
        <f t="shared" si="13"/>
        <v>0</v>
      </c>
      <c r="T124" s="1726">
        <f t="shared" si="13"/>
        <v>0</v>
      </c>
      <c r="U124" s="1726">
        <f t="shared" si="13"/>
        <v>0</v>
      </c>
      <c r="V124" s="1726">
        <f t="shared" si="13"/>
        <v>0</v>
      </c>
      <c r="W124" s="1726">
        <f t="shared" si="13"/>
        <v>0</v>
      </c>
      <c r="X124" s="1726">
        <f t="shared" si="13"/>
        <v>0</v>
      </c>
      <c r="Y124" s="1726">
        <f t="shared" si="13"/>
        <v>0</v>
      </c>
      <c r="Z124" s="1726">
        <f t="shared" si="13"/>
        <v>0</v>
      </c>
      <c r="AA124" s="1726">
        <f t="shared" si="13"/>
        <v>0</v>
      </c>
      <c r="AB124" s="1726">
        <f t="shared" si="13"/>
        <v>0</v>
      </c>
      <c r="AC124" s="1726">
        <f t="shared" si="13"/>
        <v>0</v>
      </c>
      <c r="AD124" s="1726">
        <f t="shared" si="13"/>
        <v>0</v>
      </c>
      <c r="AE124" s="1726">
        <f t="shared" si="13"/>
        <v>0</v>
      </c>
      <c r="AF124" s="1726">
        <f t="shared" si="13"/>
        <v>4.128399933012974E-5</v>
      </c>
      <c r="AG124" s="1726">
        <f t="shared" si="13"/>
        <v>9.1903891450028816E-5</v>
      </c>
      <c r="AH124" s="1726">
        <f t="shared" si="13"/>
        <v>1.5356594730938565E-4</v>
      </c>
      <c r="AI124" s="1726">
        <f t="shared" si="13"/>
        <v>2.2770903972675442E-4</v>
      </c>
      <c r="AJ124" s="1726">
        <f t="shared" si="13"/>
        <v>3.2026808491360465E-4</v>
      </c>
      <c r="AK124" s="1726">
        <f t="shared" si="13"/>
        <v>3.6764376594616578E-4</v>
      </c>
      <c r="AL124" s="1726">
        <f t="shared" si="13"/>
        <v>4.1625472299005944E-4</v>
      </c>
      <c r="AM124" s="1726"/>
    </row>
    <row r="125" spans="1:39" ht="15.75" customHeight="1" x14ac:dyDescent="0.25">
      <c r="A125" s="3"/>
      <c r="B125" s="3" t="str">
        <f t="shared" si="11"/>
        <v>Foam blowing agents</v>
      </c>
      <c r="C125" s="3" t="str">
        <f t="shared" si="11"/>
        <v>HFC</v>
      </c>
      <c r="D125" s="3" t="str">
        <f t="shared" si="11"/>
        <v>Other HFC</v>
      </c>
      <c r="E125" s="1728">
        <f t="shared" si="7"/>
        <v>3.1510713686054377</v>
      </c>
      <c r="F125" s="1726">
        <f t="shared" si="13"/>
        <v>0</v>
      </c>
      <c r="G125" s="1726">
        <f t="shared" si="13"/>
        <v>0</v>
      </c>
      <c r="H125" s="1726">
        <f t="shared" si="13"/>
        <v>0</v>
      </c>
      <c r="I125" s="1726">
        <f t="shared" si="13"/>
        <v>0</v>
      </c>
      <c r="J125" s="1726">
        <f t="shared" si="13"/>
        <v>0</v>
      </c>
      <c r="K125" s="1726">
        <f t="shared" si="13"/>
        <v>0</v>
      </c>
      <c r="L125" s="1726">
        <f t="shared" si="13"/>
        <v>0</v>
      </c>
      <c r="M125" s="1726">
        <f t="shared" si="13"/>
        <v>0</v>
      </c>
      <c r="N125" s="1726">
        <f t="shared" si="13"/>
        <v>0</v>
      </c>
      <c r="O125" s="1726">
        <f t="shared" si="13"/>
        <v>0</v>
      </c>
      <c r="P125" s="1726">
        <f t="shared" si="13"/>
        <v>0</v>
      </c>
      <c r="Q125" s="1726">
        <f t="shared" si="13"/>
        <v>0</v>
      </c>
      <c r="R125" s="1726">
        <f t="shared" si="13"/>
        <v>5.3811122248354683E-3</v>
      </c>
      <c r="S125" s="1726">
        <f t="shared" si="13"/>
        <v>1.1701708970743531E-2</v>
      </c>
      <c r="T125" s="1726">
        <f t="shared" si="13"/>
        <v>1.3169210501605801E-2</v>
      </c>
      <c r="U125" s="1726">
        <f t="shared" si="13"/>
        <v>1.4681194978391023E-2</v>
      </c>
      <c r="V125" s="1726">
        <f t="shared" si="13"/>
        <v>1.6213901102938411E-2</v>
      </c>
      <c r="W125" s="1726">
        <f t="shared" si="13"/>
        <v>1.7773336265136483E-2</v>
      </c>
      <c r="X125" s="1726">
        <f t="shared" si="13"/>
        <v>1.9402432755360053E-2</v>
      </c>
      <c r="Y125" s="1726">
        <f t="shared" si="13"/>
        <v>2.1151167172264729E-2</v>
      </c>
      <c r="Z125" s="1726">
        <f t="shared" si="13"/>
        <v>2.3028693271167796E-2</v>
      </c>
      <c r="AA125" s="1726">
        <f t="shared" si="13"/>
        <v>2.4982270517616E-2</v>
      </c>
      <c r="AB125" s="1726">
        <f t="shared" si="13"/>
        <v>2.6999970598364662E-2</v>
      </c>
      <c r="AC125" s="1726">
        <f t="shared" si="13"/>
        <v>2.9055474489210607E-2</v>
      </c>
      <c r="AD125" s="1726">
        <f t="shared" si="13"/>
        <v>3.1169467611792123E-2</v>
      </c>
      <c r="AE125" s="1726">
        <f t="shared" si="13"/>
        <v>3.3326335135242725E-2</v>
      </c>
      <c r="AF125" s="1726">
        <f t="shared" si="13"/>
        <v>3.2015447583425456E-2</v>
      </c>
      <c r="AG125" s="1726">
        <f t="shared" si="13"/>
        <v>3.0162387065744145E-2</v>
      </c>
      <c r="AH125" s="1726">
        <f t="shared" si="13"/>
        <v>2.7900138291621485E-2</v>
      </c>
      <c r="AI125" s="1726">
        <f t="shared" si="13"/>
        <v>2.473154939198997E-2</v>
      </c>
      <c r="AJ125" s="1726">
        <f t="shared" si="13"/>
        <v>2.0801290846097307E-2</v>
      </c>
      <c r="AK125" s="1726">
        <f t="shared" si="13"/>
        <v>2.0775042253684723E-2</v>
      </c>
      <c r="AL125" s="1726">
        <f t="shared" si="13"/>
        <v>2.0666830330765718E-2</v>
      </c>
      <c r="AM125" s="1726"/>
    </row>
    <row r="126" spans="1:39" ht="15.75" customHeight="1" x14ac:dyDescent="0.25">
      <c r="A126" s="3"/>
      <c r="B126" s="3" t="str">
        <f t="shared" si="11"/>
        <v>Foam blowing agents</v>
      </c>
      <c r="C126" s="3" t="str">
        <f t="shared" si="11"/>
        <v>HFC</v>
      </c>
      <c r="D126" s="3" t="str">
        <f t="shared" si="11"/>
        <v>Other HFC</v>
      </c>
      <c r="E126" s="1728">
        <f t="shared" si="7"/>
        <v>3.1510713686054377</v>
      </c>
      <c r="F126" s="1726">
        <f t="shared" si="13"/>
        <v>0</v>
      </c>
      <c r="G126" s="1726">
        <f t="shared" si="13"/>
        <v>0</v>
      </c>
      <c r="H126" s="1726">
        <f t="shared" si="13"/>
        <v>0</v>
      </c>
      <c r="I126" s="1726">
        <f t="shared" si="13"/>
        <v>0</v>
      </c>
      <c r="J126" s="1726">
        <f t="shared" si="13"/>
        <v>0</v>
      </c>
      <c r="K126" s="1726">
        <f t="shared" si="13"/>
        <v>0</v>
      </c>
      <c r="L126" s="1726">
        <f t="shared" si="13"/>
        <v>0</v>
      </c>
      <c r="M126" s="1726">
        <f t="shared" si="13"/>
        <v>0</v>
      </c>
      <c r="N126" s="1726">
        <f t="shared" si="13"/>
        <v>0</v>
      </c>
      <c r="O126" s="1726">
        <f t="shared" si="13"/>
        <v>0</v>
      </c>
      <c r="P126" s="1726">
        <f t="shared" si="13"/>
        <v>0</v>
      </c>
      <c r="Q126" s="1726">
        <f t="shared" si="13"/>
        <v>0</v>
      </c>
      <c r="R126" s="1726">
        <f t="shared" si="13"/>
        <v>8.6428940965049671E-3</v>
      </c>
      <c r="S126" s="1726">
        <f t="shared" si="13"/>
        <v>1.8794744869932687E-2</v>
      </c>
      <c r="T126" s="1726">
        <f t="shared" si="13"/>
        <v>2.1151778097963776E-2</v>
      </c>
      <c r="U126" s="1726">
        <f t="shared" si="13"/>
        <v>2.3580257780677266E-2</v>
      </c>
      <c r="V126" s="1726">
        <f t="shared" si="13"/>
        <v>2.6042019617642624E-2</v>
      </c>
      <c r="W126" s="1726">
        <f t="shared" si="13"/>
        <v>2.8546712401234596E-2</v>
      </c>
      <c r="X126" s="1726">
        <f t="shared" si="13"/>
        <v>3.1163291994762914E-2</v>
      </c>
      <c r="Y126" s="1726">
        <f t="shared" si="13"/>
        <v>3.3972028504375945E-2</v>
      </c>
      <c r="Z126" s="1726">
        <f t="shared" si="13"/>
        <v>3.6987624269383346E-2</v>
      </c>
      <c r="AA126" s="1726">
        <f t="shared" si="13"/>
        <v>4.0125369877524769E-2</v>
      </c>
      <c r="AB126" s="1726">
        <f t="shared" si="13"/>
        <v>4.3366106622604143E-2</v>
      </c>
      <c r="AC126" s="1726">
        <f t="shared" si="13"/>
        <v>4.6667562102670583E-2</v>
      </c>
      <c r="AD126" s="1726">
        <f t="shared" si="13"/>
        <v>5.0062960287247653E-2</v>
      </c>
      <c r="AE126" s="1726">
        <f t="shared" si="13"/>
        <v>5.3527221355682143E-2</v>
      </c>
      <c r="AF126" s="1726">
        <f t="shared" si="13"/>
        <v>5.1421734272455659E-2</v>
      </c>
      <c r="AG126" s="1726">
        <f t="shared" si="13"/>
        <v>4.8445433994825975E-2</v>
      </c>
      <c r="AH126" s="1726">
        <f t="shared" si="13"/>
        <v>4.4811914425312044E-2</v>
      </c>
      <c r="AI126" s="1726">
        <f t="shared" si="13"/>
        <v>3.9722673177288489E-2</v>
      </c>
      <c r="AJ126" s="1726">
        <f t="shared" si="13"/>
        <v>3.3410073297423973E-2</v>
      </c>
      <c r="AK126" s="1726">
        <f t="shared" si="13"/>
        <v>3.3367914019764383E-2</v>
      </c>
      <c r="AL126" s="1726">
        <f t="shared" si="13"/>
        <v>3.3194109023568327E-2</v>
      </c>
      <c r="AM126" s="1726"/>
    </row>
    <row r="127" spans="1:39" ht="15.75" customHeight="1" x14ac:dyDescent="0.25">
      <c r="A127" s="3"/>
      <c r="B127" s="3" t="str">
        <f t="shared" si="11"/>
        <v>Foam blowing agents</v>
      </c>
      <c r="C127" s="3" t="str">
        <f t="shared" si="11"/>
        <v>HFC</v>
      </c>
      <c r="D127" s="3" t="str">
        <f t="shared" si="11"/>
        <v>Other HFC</v>
      </c>
      <c r="E127" s="1728">
        <f t="shared" si="7"/>
        <v>3.1510713686054377</v>
      </c>
      <c r="F127" s="1726">
        <f t="shared" si="13"/>
        <v>0</v>
      </c>
      <c r="G127" s="1726">
        <f t="shared" si="13"/>
        <v>0</v>
      </c>
      <c r="H127" s="1726">
        <f t="shared" si="13"/>
        <v>0</v>
      </c>
      <c r="I127" s="1726">
        <f t="shared" si="13"/>
        <v>0</v>
      </c>
      <c r="J127" s="1726">
        <f t="shared" si="13"/>
        <v>0</v>
      </c>
      <c r="K127" s="1726">
        <f t="shared" si="13"/>
        <v>0</v>
      </c>
      <c r="L127" s="1726">
        <f t="shared" si="13"/>
        <v>0</v>
      </c>
      <c r="M127" s="1726">
        <f t="shared" si="13"/>
        <v>0</v>
      </c>
      <c r="N127" s="1726">
        <f t="shared" si="13"/>
        <v>0</v>
      </c>
      <c r="O127" s="1726">
        <f t="shared" si="13"/>
        <v>0</v>
      </c>
      <c r="P127" s="1726">
        <f t="shared" si="13"/>
        <v>0</v>
      </c>
      <c r="Q127" s="1726">
        <f t="shared" si="13"/>
        <v>2.2577061261906217E-3</v>
      </c>
      <c r="R127" s="1726">
        <f t="shared" si="13"/>
        <v>2.9249261733934738E-2</v>
      </c>
      <c r="S127" s="1726">
        <f t="shared" si="13"/>
        <v>6.1574571215105171E-2</v>
      </c>
      <c r="T127" s="1726">
        <f t="shared" si="13"/>
        <v>7.0367950812915858E-2</v>
      </c>
      <c r="U127" s="1726">
        <f t="shared" si="13"/>
        <v>7.9370015812516084E-2</v>
      </c>
      <c r="V127" s="1726">
        <f t="shared" si="13"/>
        <v>8.8625467454758758E-2</v>
      </c>
      <c r="W127" s="1726">
        <f t="shared" si="13"/>
        <v>9.7911373949078992E-2</v>
      </c>
      <c r="X127" s="1726">
        <f t="shared" si="13"/>
        <v>0.10665880064019971</v>
      </c>
      <c r="Y127" s="1726">
        <f t="shared" si="13"/>
        <v>0.11671251370218837</v>
      </c>
      <c r="Z127" s="1726">
        <f t="shared" si="13"/>
        <v>0.12874896027379057</v>
      </c>
      <c r="AA127" s="1726">
        <f t="shared" si="13"/>
        <v>0.14188286283534246</v>
      </c>
      <c r="AB127" s="1726">
        <f t="shared" si="13"/>
        <v>0.15432857347794168</v>
      </c>
      <c r="AC127" s="1726">
        <f t="shared" si="13"/>
        <v>0.16668951111312774</v>
      </c>
      <c r="AD127" s="1726">
        <f t="shared" si="13"/>
        <v>0.17946864711692243</v>
      </c>
      <c r="AE127" s="1726">
        <f t="shared" si="13"/>
        <v>0.23084548578526387</v>
      </c>
      <c r="AF127" s="1726">
        <f t="shared" si="13"/>
        <v>0.27317875310932022</v>
      </c>
      <c r="AG127" s="1726">
        <f t="shared" si="13"/>
        <v>0.32230753307301641</v>
      </c>
      <c r="AH127" s="1726">
        <f t="shared" si="13"/>
        <v>0.33963545423342739</v>
      </c>
      <c r="AI127" s="1726">
        <f t="shared" si="13"/>
        <v>0.34273584802036922</v>
      </c>
      <c r="AJ127" s="1726">
        <f t="shared" si="13"/>
        <v>0.33802800711121339</v>
      </c>
      <c r="AK127" s="1726">
        <f t="shared" si="13"/>
        <v>0.35037593077526197</v>
      </c>
      <c r="AL127" s="1726">
        <f t="shared" si="13"/>
        <v>0.3868879446428703</v>
      </c>
      <c r="AM127" s="1726"/>
    </row>
    <row r="128" spans="1:39" ht="15.75" customHeight="1" x14ac:dyDescent="0.25">
      <c r="A128" s="3"/>
      <c r="B128" s="3" t="str">
        <f t="shared" si="11"/>
        <v>Metered does inhalers</v>
      </c>
      <c r="C128" s="3" t="str">
        <f t="shared" si="11"/>
        <v>HFC</v>
      </c>
      <c r="D128" s="3" t="str">
        <f t="shared" si="11"/>
        <v>Other HFC</v>
      </c>
      <c r="E128" s="1728">
        <f t="shared" si="7"/>
        <v>3.1510713686054377</v>
      </c>
      <c r="F128" s="1726">
        <f t="shared" si="13"/>
        <v>0</v>
      </c>
      <c r="G128" s="1726">
        <f t="shared" si="13"/>
        <v>0</v>
      </c>
      <c r="H128" s="1726">
        <f t="shared" si="13"/>
        <v>0</v>
      </c>
      <c r="I128" s="1726">
        <f t="shared" si="13"/>
        <v>0</v>
      </c>
      <c r="J128" s="1726">
        <f t="shared" si="13"/>
        <v>0</v>
      </c>
      <c r="K128" s="1726">
        <f t="shared" si="13"/>
        <v>0</v>
      </c>
      <c r="L128" s="1726">
        <f t="shared" si="13"/>
        <v>0</v>
      </c>
      <c r="M128" s="1726">
        <f t="shared" si="13"/>
        <v>0</v>
      </c>
      <c r="N128" s="1726">
        <f t="shared" si="13"/>
        <v>0</v>
      </c>
      <c r="O128" s="1726">
        <f t="shared" si="13"/>
        <v>0</v>
      </c>
      <c r="P128" s="1726">
        <f t="shared" si="13"/>
        <v>0</v>
      </c>
      <c r="Q128" s="1726">
        <f t="shared" si="13"/>
        <v>0</v>
      </c>
      <c r="R128" s="1726">
        <f t="shared" si="13"/>
        <v>0</v>
      </c>
      <c r="S128" s="1726">
        <f t="shared" si="13"/>
        <v>0</v>
      </c>
      <c r="T128" s="1726">
        <f t="shared" si="13"/>
        <v>0</v>
      </c>
      <c r="U128" s="1726">
        <f t="shared" si="13"/>
        <v>0</v>
      </c>
      <c r="V128" s="1726">
        <f t="shared" si="13"/>
        <v>0</v>
      </c>
      <c r="W128" s="1726">
        <f t="shared" si="13"/>
        <v>3.4684618100898753E-3</v>
      </c>
      <c r="X128" s="1726">
        <f t="shared" si="13"/>
        <v>6.9795514746707815E-3</v>
      </c>
      <c r="Y128" s="1726">
        <f t="shared" si="13"/>
        <v>1.0553344513898982E-2</v>
      </c>
      <c r="Z128" s="1726">
        <f t="shared" si="13"/>
        <v>1.4218528219065532E-2</v>
      </c>
      <c r="AA128" s="1726">
        <f t="shared" si="13"/>
        <v>1.7933905719995792E-2</v>
      </c>
      <c r="AB128" s="1726">
        <f t="shared" si="13"/>
        <v>2.1702091084041121E-2</v>
      </c>
      <c r="AC128" s="1726">
        <f t="shared" si="13"/>
        <v>2.5481292301660616E-2</v>
      </c>
      <c r="AD128" s="1726">
        <f t="shared" si="13"/>
        <v>2.5636346440094038E-2</v>
      </c>
      <c r="AE128" s="1726">
        <f t="shared" si="13"/>
        <v>2.4061836649183283E-2</v>
      </c>
      <c r="AF128" s="1726">
        <f t="shared" si="13"/>
        <v>2.9420256939622504E-2</v>
      </c>
      <c r="AG128" s="1726">
        <f t="shared" si="13"/>
        <v>3.4678708257559233E-2</v>
      </c>
      <c r="AH128" s="1726">
        <f t="shared" si="13"/>
        <v>3.9513069872097024E-2</v>
      </c>
      <c r="AI128" s="1726">
        <f t="shared" si="13"/>
        <v>3.9954296013381997E-2</v>
      </c>
      <c r="AJ128" s="1726">
        <f t="shared" si="13"/>
        <v>4.0885658504363563E-2</v>
      </c>
      <c r="AK128" s="1726">
        <f t="shared" si="13"/>
        <v>4.138942015720258E-2</v>
      </c>
      <c r="AL128" s="1726">
        <f t="shared" si="13"/>
        <v>2.5044276193502437E-2</v>
      </c>
      <c r="AM128" s="1726"/>
    </row>
    <row r="129" spans="1:39" ht="15.75" customHeight="1" x14ac:dyDescent="0.25">
      <c r="A129" s="3"/>
      <c r="B129" s="3" t="str">
        <f t="shared" si="11"/>
        <v>Other Aerosols</v>
      </c>
      <c r="C129" s="3" t="str">
        <f t="shared" si="11"/>
        <v>HFC</v>
      </c>
      <c r="D129" s="3" t="str">
        <f t="shared" si="11"/>
        <v>Other HFC</v>
      </c>
      <c r="E129" s="1728">
        <f t="shared" si="7"/>
        <v>3.1510713686054377</v>
      </c>
      <c r="F129" s="1726">
        <f t="shared" si="13"/>
        <v>0</v>
      </c>
      <c r="G129" s="1726">
        <f t="shared" si="13"/>
        <v>0</v>
      </c>
      <c r="H129" s="1726">
        <f t="shared" si="13"/>
        <v>0</v>
      </c>
      <c r="I129" s="1726">
        <f t="shared" si="13"/>
        <v>0</v>
      </c>
      <c r="J129" s="1726">
        <f t="shared" si="13"/>
        <v>0</v>
      </c>
      <c r="K129" s="1726">
        <f t="shared" si="13"/>
        <v>0</v>
      </c>
      <c r="L129" s="1726">
        <f t="shared" si="13"/>
        <v>0</v>
      </c>
      <c r="M129" s="1726">
        <f t="shared" si="13"/>
        <v>0</v>
      </c>
      <c r="N129" s="1726">
        <f t="shared" si="13"/>
        <v>0</v>
      </c>
      <c r="O129" s="1726">
        <f t="shared" si="13"/>
        <v>0</v>
      </c>
      <c r="P129" s="1726">
        <f t="shared" si="13"/>
        <v>0</v>
      </c>
      <c r="Q129" s="1726">
        <f t="shared" si="13"/>
        <v>0</v>
      </c>
      <c r="R129" s="1726">
        <f t="shared" si="13"/>
        <v>0</v>
      </c>
      <c r="S129" s="1726">
        <f t="shared" si="13"/>
        <v>0</v>
      </c>
      <c r="T129" s="1726">
        <f t="shared" si="13"/>
        <v>0</v>
      </c>
      <c r="U129" s="1726">
        <f t="shared" si="13"/>
        <v>0</v>
      </c>
      <c r="V129" s="1726">
        <f t="shared" si="13"/>
        <v>0</v>
      </c>
      <c r="W129" s="1726">
        <f t="shared" si="13"/>
        <v>0</v>
      </c>
      <c r="X129" s="1726">
        <f t="shared" si="13"/>
        <v>0</v>
      </c>
      <c r="Y129" s="1726">
        <f t="shared" si="13"/>
        <v>0</v>
      </c>
      <c r="Z129" s="1726">
        <f t="shared" si="13"/>
        <v>0</v>
      </c>
      <c r="AA129" s="1726">
        <f t="shared" si="13"/>
        <v>0</v>
      </c>
      <c r="AB129" s="1726">
        <f t="shared" si="13"/>
        <v>4.8007471203197866E-6</v>
      </c>
      <c r="AC129" s="1726">
        <f t="shared" si="13"/>
        <v>1.0158143052718795E-5</v>
      </c>
      <c r="AD129" s="1726">
        <f t="shared" ref="AD129:AL129" si="14">AD39*$E129</f>
        <v>1.6058716655265169E-5</v>
      </c>
      <c r="AE129" s="1726">
        <f t="shared" si="14"/>
        <v>2.2479825064494267E-5</v>
      </c>
      <c r="AF129" s="1726">
        <f t="shared" si="14"/>
        <v>9.762421628968397E-5</v>
      </c>
      <c r="AG129" s="1726">
        <f t="shared" si="14"/>
        <v>1.6960922262782699E-4</v>
      </c>
      <c r="AH129" s="1726">
        <f t="shared" si="14"/>
        <v>2.4407915113197552E-4</v>
      </c>
      <c r="AI129" s="1726">
        <f t="shared" si="14"/>
        <v>2.4836784435641718E-4</v>
      </c>
      <c r="AJ129" s="1726">
        <f t="shared" si="14"/>
        <v>2.5576363380166507E-4</v>
      </c>
      <c r="AK129" s="1726">
        <f t="shared" si="14"/>
        <v>2.6055042912003005E-4</v>
      </c>
      <c r="AL129" s="1726">
        <f t="shared" si="14"/>
        <v>2.6437654259772454E-4</v>
      </c>
      <c r="AM129" s="1726"/>
    </row>
    <row r="130" spans="1:39" ht="15.75" customHeight="1" x14ac:dyDescent="0.25">
      <c r="A130" s="3"/>
      <c r="B130" s="3" t="str">
        <f t="shared" si="11"/>
        <v>Other Aerosols</v>
      </c>
      <c r="C130" s="3" t="str">
        <f t="shared" si="11"/>
        <v>HFC</v>
      </c>
      <c r="D130" s="3" t="str">
        <f t="shared" si="11"/>
        <v>Other HFC</v>
      </c>
      <c r="E130" s="1728">
        <f t="shared" si="7"/>
        <v>3.1510713686054377</v>
      </c>
      <c r="F130" s="1726">
        <f t="shared" ref="F130:AL137" si="15">F40*$E130</f>
        <v>1.3754024600626417E-2</v>
      </c>
      <c r="G130" s="1726">
        <f t="shared" si="15"/>
        <v>3.0150608716945367E-2</v>
      </c>
      <c r="H130" s="1726">
        <f t="shared" si="15"/>
        <v>3.0078155851213689E-2</v>
      </c>
      <c r="I130" s="1726">
        <f t="shared" si="15"/>
        <v>2.9979021610693629E-2</v>
      </c>
      <c r="J130" s="1726">
        <f t="shared" si="15"/>
        <v>3.1850097558794845E-2</v>
      </c>
      <c r="K130" s="1726">
        <f t="shared" si="15"/>
        <v>3.3150242370900924E-2</v>
      </c>
      <c r="L130" s="1726">
        <f t="shared" si="15"/>
        <v>3.7995404435182206E-2</v>
      </c>
      <c r="M130" s="1726">
        <f t="shared" si="15"/>
        <v>6.1270973625599745E-2</v>
      </c>
      <c r="N130" s="1726">
        <f t="shared" si="15"/>
        <v>9.4796900350886018E-2</v>
      </c>
      <c r="O130" s="1726">
        <f t="shared" si="15"/>
        <v>9.732146430036015E-2</v>
      </c>
      <c r="P130" s="1726">
        <f t="shared" si="15"/>
        <v>9.8442545066098147E-2</v>
      </c>
      <c r="Q130" s="1726">
        <f t="shared" si="15"/>
        <v>0.10685600223146616</v>
      </c>
      <c r="R130" s="1726">
        <f t="shared" si="15"/>
        <v>0.11526816169985858</v>
      </c>
      <c r="S130" s="1726">
        <f t="shared" si="15"/>
        <v>0.12428022160481807</v>
      </c>
      <c r="T130" s="1726">
        <f t="shared" si="15"/>
        <v>0.13292017253366459</v>
      </c>
      <c r="U130" s="1726">
        <f t="shared" si="15"/>
        <v>0.14217161949977622</v>
      </c>
      <c r="V130" s="1726">
        <f t="shared" si="15"/>
        <v>0.14510685523225011</v>
      </c>
      <c r="W130" s="1726">
        <f t="shared" si="15"/>
        <v>0.14880802731840678</v>
      </c>
      <c r="X130" s="1726">
        <f t="shared" si="15"/>
        <v>0.1512502601752275</v>
      </c>
      <c r="Y130" s="1726">
        <f t="shared" si="15"/>
        <v>0.1631710986471003</v>
      </c>
      <c r="Z130" s="1726">
        <f t="shared" si="15"/>
        <v>0.17560912881103505</v>
      </c>
      <c r="AA130" s="1726">
        <f t="shared" si="15"/>
        <v>0.18756716325209183</v>
      </c>
      <c r="AB130" s="1726">
        <f t="shared" si="15"/>
        <v>0.19942607983972288</v>
      </c>
      <c r="AC130" s="1726">
        <f t="shared" si="15"/>
        <v>0.21097688833369685</v>
      </c>
      <c r="AD130" s="1726">
        <f t="shared" si="15"/>
        <v>0.22235740737338544</v>
      </c>
      <c r="AE130" s="1726">
        <f t="shared" si="15"/>
        <v>0.23344792085770188</v>
      </c>
      <c r="AF130" s="1726">
        <f t="shared" si="15"/>
        <v>0.23719647023383791</v>
      </c>
      <c r="AG130" s="1726">
        <f t="shared" si="15"/>
        <v>0.24133998403545587</v>
      </c>
      <c r="AH130" s="1726">
        <f t="shared" si="15"/>
        <v>0.24555486607106852</v>
      </c>
      <c r="AI130" s="1726">
        <f t="shared" si="15"/>
        <v>0.24986929226808338</v>
      </c>
      <c r="AJ130" s="1726">
        <f t="shared" si="15"/>
        <v>0.25731033728524599</v>
      </c>
      <c r="AK130" s="1726">
        <f t="shared" si="15"/>
        <v>0.26212535234022533</v>
      </c>
      <c r="AL130" s="1726">
        <f t="shared" si="15"/>
        <v>0.26597519691834942</v>
      </c>
      <c r="AM130" s="1726"/>
    </row>
    <row r="131" spans="1:39" ht="15.75" customHeight="1" x14ac:dyDescent="0.25">
      <c r="A131" s="3"/>
      <c r="B131" s="3" t="str">
        <f t="shared" si="11"/>
        <v>Refrigeration and air-conditioning</v>
      </c>
      <c r="C131" s="3" t="str">
        <f t="shared" si="11"/>
        <v>HFC</v>
      </c>
      <c r="D131" s="3" t="str">
        <f t="shared" si="11"/>
        <v>Other HFC</v>
      </c>
      <c r="E131" s="1728">
        <f t="shared" si="7"/>
        <v>3.1510713686054377</v>
      </c>
      <c r="F131" s="1726">
        <f t="shared" si="15"/>
        <v>0</v>
      </c>
      <c r="G131" s="1726">
        <f t="shared" si="15"/>
        <v>0</v>
      </c>
      <c r="H131" s="1726">
        <f t="shared" si="15"/>
        <v>0</v>
      </c>
      <c r="I131" s="1726">
        <f t="shared" si="15"/>
        <v>0</v>
      </c>
      <c r="J131" s="1726">
        <f t="shared" si="15"/>
        <v>0</v>
      </c>
      <c r="K131" s="1726">
        <f t="shared" si="15"/>
        <v>0</v>
      </c>
      <c r="L131" s="1726">
        <f t="shared" si="15"/>
        <v>0</v>
      </c>
      <c r="M131" s="1726">
        <f t="shared" si="15"/>
        <v>0</v>
      </c>
      <c r="N131" s="1726">
        <f t="shared" si="15"/>
        <v>0</v>
      </c>
      <c r="O131" s="1726">
        <f t="shared" si="15"/>
        <v>0</v>
      </c>
      <c r="P131" s="1726">
        <f t="shared" si="15"/>
        <v>0</v>
      </c>
      <c r="Q131" s="1726">
        <f t="shared" si="15"/>
        <v>0</v>
      </c>
      <c r="R131" s="1726">
        <f t="shared" si="15"/>
        <v>0</v>
      </c>
      <c r="S131" s="1726">
        <f t="shared" si="15"/>
        <v>0</v>
      </c>
      <c r="T131" s="1726">
        <f t="shared" si="15"/>
        <v>0</v>
      </c>
      <c r="U131" s="1726">
        <f t="shared" si="15"/>
        <v>0</v>
      </c>
      <c r="V131" s="1726">
        <f t="shared" si="15"/>
        <v>0</v>
      </c>
      <c r="W131" s="1726">
        <f t="shared" si="15"/>
        <v>0</v>
      </c>
      <c r="X131" s="1726">
        <f t="shared" si="15"/>
        <v>0</v>
      </c>
      <c r="Y131" s="1726">
        <f t="shared" si="15"/>
        <v>0</v>
      </c>
      <c r="Z131" s="1726">
        <f t="shared" si="15"/>
        <v>0</v>
      </c>
      <c r="AA131" s="1726">
        <f t="shared" si="15"/>
        <v>0</v>
      </c>
      <c r="AB131" s="1726">
        <f t="shared" si="15"/>
        <v>0</v>
      </c>
      <c r="AC131" s="1726">
        <f t="shared" si="15"/>
        <v>0</v>
      </c>
      <c r="AD131" s="1726">
        <f t="shared" si="15"/>
        <v>0</v>
      </c>
      <c r="AE131" s="1726">
        <f t="shared" si="15"/>
        <v>0</v>
      </c>
      <c r="AF131" s="1726">
        <f t="shared" si="15"/>
        <v>5.7910756680735784E-9</v>
      </c>
      <c r="AG131" s="1726">
        <f t="shared" si="15"/>
        <v>1.0571367955645889E-7</v>
      </c>
      <c r="AH131" s="1726">
        <f t="shared" si="15"/>
        <v>4.8173213389411005E-7</v>
      </c>
      <c r="AI131" s="1726">
        <f t="shared" si="15"/>
        <v>1.0985606936384691E-6</v>
      </c>
      <c r="AJ131" s="1726">
        <f t="shared" si="15"/>
        <v>1.98661846590581E-6</v>
      </c>
      <c r="AK131" s="1726">
        <f t="shared" si="15"/>
        <v>2.8176355573877506E-6</v>
      </c>
      <c r="AL131" s="1726">
        <f t="shared" si="15"/>
        <v>3.6459804726045666E-6</v>
      </c>
      <c r="AM131" s="1726"/>
    </row>
    <row r="132" spans="1:39" ht="15.75" customHeight="1" x14ac:dyDescent="0.25">
      <c r="A132" s="3"/>
      <c r="B132" s="3" t="str">
        <f t="shared" si="11"/>
        <v>Refrigeration and air-conditioning</v>
      </c>
      <c r="C132" s="3" t="str">
        <f t="shared" si="11"/>
        <v>HFC</v>
      </c>
      <c r="D132" s="3" t="str">
        <f t="shared" si="11"/>
        <v>Other HFC</v>
      </c>
      <c r="E132" s="1728">
        <f t="shared" si="7"/>
        <v>3.1510713686054377</v>
      </c>
      <c r="F132" s="1726">
        <f t="shared" si="15"/>
        <v>0</v>
      </c>
      <c r="G132" s="1726">
        <f t="shared" si="15"/>
        <v>0</v>
      </c>
      <c r="H132" s="1726">
        <f t="shared" si="15"/>
        <v>0</v>
      </c>
      <c r="I132" s="1726">
        <f t="shared" si="15"/>
        <v>0</v>
      </c>
      <c r="J132" s="1726">
        <f t="shared" si="15"/>
        <v>0</v>
      </c>
      <c r="K132" s="1726">
        <f t="shared" si="15"/>
        <v>0</v>
      </c>
      <c r="L132" s="1726">
        <f t="shared" si="15"/>
        <v>0</v>
      </c>
      <c r="M132" s="1726">
        <f t="shared" si="15"/>
        <v>0</v>
      </c>
      <c r="N132" s="1726">
        <f t="shared" si="15"/>
        <v>0</v>
      </c>
      <c r="O132" s="1726">
        <f t="shared" si="15"/>
        <v>0</v>
      </c>
      <c r="P132" s="1726">
        <f t="shared" si="15"/>
        <v>0</v>
      </c>
      <c r="Q132" s="1726">
        <f t="shared" si="15"/>
        <v>0</v>
      </c>
      <c r="R132" s="1726">
        <f t="shared" si="15"/>
        <v>0</v>
      </c>
      <c r="S132" s="1726">
        <f t="shared" si="15"/>
        <v>0</v>
      </c>
      <c r="T132" s="1726">
        <f t="shared" si="15"/>
        <v>0</v>
      </c>
      <c r="U132" s="1726">
        <f t="shared" si="15"/>
        <v>0</v>
      </c>
      <c r="V132" s="1726">
        <f t="shared" si="15"/>
        <v>0</v>
      </c>
      <c r="W132" s="1726">
        <f t="shared" si="15"/>
        <v>0</v>
      </c>
      <c r="X132" s="1726">
        <f t="shared" si="15"/>
        <v>0</v>
      </c>
      <c r="Y132" s="1726">
        <f t="shared" si="15"/>
        <v>0</v>
      </c>
      <c r="Z132" s="1726">
        <f t="shared" si="15"/>
        <v>0</v>
      </c>
      <c r="AA132" s="1726">
        <f t="shared" si="15"/>
        <v>0</v>
      </c>
      <c r="AB132" s="1726">
        <f t="shared" si="15"/>
        <v>0</v>
      </c>
      <c r="AC132" s="1726">
        <f t="shared" si="15"/>
        <v>0</v>
      </c>
      <c r="AD132" s="1726">
        <f t="shared" si="15"/>
        <v>0</v>
      </c>
      <c r="AE132" s="1726">
        <f t="shared" si="15"/>
        <v>0</v>
      </c>
      <c r="AF132" s="1726">
        <f t="shared" si="15"/>
        <v>9.0688244962032264E-9</v>
      </c>
      <c r="AG132" s="1726">
        <f t="shared" si="15"/>
        <v>4.1881102556520594E-8</v>
      </c>
      <c r="AH132" s="1726">
        <f t="shared" si="15"/>
        <v>3.409003952293726E-7</v>
      </c>
      <c r="AI132" s="1726">
        <f t="shared" si="15"/>
        <v>8.7208243279454061E-7</v>
      </c>
      <c r="AJ132" s="1726">
        <f t="shared" si="15"/>
        <v>1.6520679697075207E-6</v>
      </c>
      <c r="AK132" s="1726">
        <f t="shared" si="15"/>
        <v>2.6838080121316953E-6</v>
      </c>
      <c r="AL132" s="1726">
        <f t="shared" si="15"/>
        <v>3.9238545813738415E-6</v>
      </c>
      <c r="AM132" s="1726"/>
    </row>
    <row r="133" spans="1:39" ht="15.75" customHeight="1" x14ac:dyDescent="0.25">
      <c r="A133" s="3"/>
      <c r="B133" s="3" t="str">
        <f t="shared" si="11"/>
        <v>Refrigeration and air-conditioning</v>
      </c>
      <c r="C133" s="3" t="str">
        <f t="shared" si="11"/>
        <v>HFC</v>
      </c>
      <c r="D133" s="3" t="str">
        <f t="shared" si="11"/>
        <v>Other HFC</v>
      </c>
      <c r="E133" s="1728">
        <f t="shared" si="7"/>
        <v>3.1510713686054377</v>
      </c>
      <c r="F133" s="1726">
        <f t="shared" si="15"/>
        <v>0</v>
      </c>
      <c r="G133" s="1726">
        <f t="shared" si="15"/>
        <v>0</v>
      </c>
      <c r="H133" s="1726">
        <f t="shared" si="15"/>
        <v>0</v>
      </c>
      <c r="I133" s="1726">
        <f t="shared" si="15"/>
        <v>0</v>
      </c>
      <c r="J133" s="1726">
        <f t="shared" si="15"/>
        <v>0</v>
      </c>
      <c r="K133" s="1726">
        <f t="shared" si="15"/>
        <v>0</v>
      </c>
      <c r="L133" s="1726">
        <f t="shared" si="15"/>
        <v>0</v>
      </c>
      <c r="M133" s="1726">
        <f t="shared" si="15"/>
        <v>0</v>
      </c>
      <c r="N133" s="1726">
        <f t="shared" si="15"/>
        <v>0</v>
      </c>
      <c r="O133" s="1726">
        <f t="shared" si="15"/>
        <v>0</v>
      </c>
      <c r="P133" s="1726">
        <f t="shared" si="15"/>
        <v>0</v>
      </c>
      <c r="Q133" s="1726">
        <f t="shared" si="15"/>
        <v>0</v>
      </c>
      <c r="R133" s="1726">
        <f t="shared" si="15"/>
        <v>0</v>
      </c>
      <c r="S133" s="1726">
        <f t="shared" si="15"/>
        <v>0</v>
      </c>
      <c r="T133" s="1726">
        <f t="shared" si="15"/>
        <v>0</v>
      </c>
      <c r="U133" s="1726">
        <f t="shared" si="15"/>
        <v>0</v>
      </c>
      <c r="V133" s="1726">
        <f t="shared" si="15"/>
        <v>0</v>
      </c>
      <c r="W133" s="1726">
        <f t="shared" si="15"/>
        <v>0</v>
      </c>
      <c r="X133" s="1726">
        <f t="shared" si="15"/>
        <v>0</v>
      </c>
      <c r="Y133" s="1726">
        <f t="shared" si="15"/>
        <v>0</v>
      </c>
      <c r="Z133" s="1726">
        <f t="shared" si="15"/>
        <v>0</v>
      </c>
      <c r="AA133" s="1726">
        <f t="shared" si="15"/>
        <v>0</v>
      </c>
      <c r="AB133" s="1726">
        <f t="shared" si="15"/>
        <v>1.1323342751878892E-7</v>
      </c>
      <c r="AC133" s="1726">
        <f t="shared" si="15"/>
        <v>3.4070500475463898E-7</v>
      </c>
      <c r="AD133" s="1726">
        <f t="shared" si="15"/>
        <v>6.8467622446157602E-7</v>
      </c>
      <c r="AE133" s="1726">
        <f t="shared" si="15"/>
        <v>1.1464315461669259E-6</v>
      </c>
      <c r="AF133" s="1726">
        <f t="shared" si="15"/>
        <v>9.385086720588058E-6</v>
      </c>
      <c r="AG133" s="1726">
        <f t="shared" si="15"/>
        <v>2.5459262292437835E-5</v>
      </c>
      <c r="AH133" s="1726">
        <f t="shared" si="15"/>
        <v>4.9760393998977905E-5</v>
      </c>
      <c r="AI133" s="1726">
        <f t="shared" si="15"/>
        <v>8.2422651335894946E-5</v>
      </c>
      <c r="AJ133" s="1726">
        <f t="shared" si="15"/>
        <v>1.2508490185770415E-4</v>
      </c>
      <c r="AK133" s="1726">
        <f t="shared" si="15"/>
        <v>1.7545766023529719E-4</v>
      </c>
      <c r="AL133" s="1726">
        <f t="shared" si="15"/>
        <v>2.2590106826373633E-4</v>
      </c>
      <c r="AM133" s="1726"/>
    </row>
    <row r="134" spans="1:39" ht="15.75" customHeight="1" x14ac:dyDescent="0.25">
      <c r="A134" s="3"/>
      <c r="B134" s="3" t="str">
        <f t="shared" si="11"/>
        <v>Refrigeration and air-conditioning</v>
      </c>
      <c r="C134" s="3" t="str">
        <f t="shared" si="11"/>
        <v>HFC</v>
      </c>
      <c r="D134" s="3" t="str">
        <f t="shared" si="11"/>
        <v>Other HFC</v>
      </c>
      <c r="E134" s="1728">
        <f t="shared" si="7"/>
        <v>3.1510713686054377</v>
      </c>
      <c r="F134" s="1726">
        <f t="shared" si="15"/>
        <v>9.1478862598953152E-4</v>
      </c>
      <c r="G134" s="1726">
        <f t="shared" si="15"/>
        <v>9.3750584167291067E-4</v>
      </c>
      <c r="H134" s="1726">
        <f t="shared" si="15"/>
        <v>9.4752126133110692E-4</v>
      </c>
      <c r="I134" s="1726">
        <f t="shared" si="15"/>
        <v>1.2685958940648573E-3</v>
      </c>
      <c r="J134" s="1726">
        <f t="shared" si="15"/>
        <v>1.5372699119661261E-3</v>
      </c>
      <c r="K134" s="1726">
        <f t="shared" si="15"/>
        <v>1.7616396575513942E-3</v>
      </c>
      <c r="L134" s="1726">
        <f t="shared" si="15"/>
        <v>1.9180359611930316E-3</v>
      </c>
      <c r="M134" s="1726">
        <f t="shared" si="15"/>
        <v>2.029264687834128E-3</v>
      </c>
      <c r="N134" s="1726">
        <f t="shared" si="15"/>
        <v>1.880075555578253E-3</v>
      </c>
      <c r="O134" s="1726">
        <f t="shared" si="15"/>
        <v>1.7204533563681232E-3</v>
      </c>
      <c r="P134" s="1726">
        <f t="shared" si="15"/>
        <v>1.5647863984166995E-3</v>
      </c>
      <c r="Q134" s="1726">
        <f t="shared" si="15"/>
        <v>1.4146424882299387E-3</v>
      </c>
      <c r="R134" s="1726">
        <f t="shared" si="15"/>
        <v>1.266641833855198E-3</v>
      </c>
      <c r="S134" s="1726">
        <f t="shared" si="15"/>
        <v>1.1180156894192972E-3</v>
      </c>
      <c r="T134" s="1726">
        <f t="shared" si="15"/>
        <v>9.6613493116218176E-4</v>
      </c>
      <c r="U134" s="1726">
        <f t="shared" si="15"/>
        <v>8.3327653923726214E-4</v>
      </c>
      <c r="V134" s="1726">
        <f t="shared" si="15"/>
        <v>7.0939191854190917E-4</v>
      </c>
      <c r="W134" s="1726">
        <f t="shared" si="15"/>
        <v>5.8173941514408269E-4</v>
      </c>
      <c r="X134" s="1726">
        <f t="shared" si="15"/>
        <v>4.7148268911250128E-4</v>
      </c>
      <c r="Y134" s="1726">
        <f t="shared" si="15"/>
        <v>4.0039122150654867E-4</v>
      </c>
      <c r="Z134" s="1726">
        <f t="shared" si="15"/>
        <v>3.4946824999974191E-4</v>
      </c>
      <c r="AA134" s="1726">
        <f t="shared" si="15"/>
        <v>3.186099850237174E-4</v>
      </c>
      <c r="AB134" s="1726">
        <f t="shared" si="15"/>
        <v>2.9919284493519965E-4</v>
      </c>
      <c r="AC134" s="1726">
        <f t="shared" si="15"/>
        <v>2.7347075750352279E-4</v>
      </c>
      <c r="AD134" s="1726">
        <f t="shared" si="15"/>
        <v>2.4629950472360266E-4</v>
      </c>
      <c r="AE134" s="1726">
        <f t="shared" si="15"/>
        <v>2.1433673722751534E-4</v>
      </c>
      <c r="AF134" s="1726">
        <f t="shared" si="15"/>
        <v>1.810108529885337E-4</v>
      </c>
      <c r="AG134" s="1726">
        <f t="shared" si="15"/>
        <v>1.4634166486426561E-4</v>
      </c>
      <c r="AH134" s="1726">
        <f t="shared" si="15"/>
        <v>1.0929996184069846E-4</v>
      </c>
      <c r="AI134" s="1726">
        <f t="shared" si="15"/>
        <v>6.9612876607090746E-5</v>
      </c>
      <c r="AJ134" s="1726">
        <f t="shared" si="15"/>
        <v>3.5723230482039057E-5</v>
      </c>
      <c r="AK134" s="1726">
        <f t="shared" si="15"/>
        <v>1.4485475413711995E-5</v>
      </c>
      <c r="AL134" s="1726">
        <f t="shared" si="15"/>
        <v>1.0841138127960641E-5</v>
      </c>
      <c r="AM134" s="1726"/>
    </row>
    <row r="135" spans="1:39" ht="15.75" customHeight="1" x14ac:dyDescent="0.25">
      <c r="A135" s="3"/>
      <c r="B135" s="3" t="str">
        <f t="shared" si="11"/>
        <v>Refrigeration and air-conditioning</v>
      </c>
      <c r="C135" s="3" t="str">
        <f t="shared" si="11"/>
        <v>HFC</v>
      </c>
      <c r="D135" s="3" t="str">
        <f t="shared" si="11"/>
        <v>Other HFC</v>
      </c>
      <c r="E135" s="1728">
        <f t="shared" si="7"/>
        <v>3.1510713686054377</v>
      </c>
      <c r="F135" s="1726">
        <f t="shared" si="15"/>
        <v>0</v>
      </c>
      <c r="G135" s="1726">
        <f t="shared" si="15"/>
        <v>0</v>
      </c>
      <c r="H135" s="1726">
        <f t="shared" si="15"/>
        <v>0</v>
      </c>
      <c r="I135" s="1726">
        <f t="shared" si="15"/>
        <v>0</v>
      </c>
      <c r="J135" s="1726">
        <f t="shared" si="15"/>
        <v>0</v>
      </c>
      <c r="K135" s="1726">
        <f t="shared" si="15"/>
        <v>0</v>
      </c>
      <c r="L135" s="1726">
        <f t="shared" si="15"/>
        <v>0</v>
      </c>
      <c r="M135" s="1726">
        <f t="shared" si="15"/>
        <v>0</v>
      </c>
      <c r="N135" s="1726">
        <f t="shared" si="15"/>
        <v>0</v>
      </c>
      <c r="O135" s="1726">
        <f t="shared" si="15"/>
        <v>0</v>
      </c>
      <c r="P135" s="1726">
        <f t="shared" si="15"/>
        <v>0</v>
      </c>
      <c r="Q135" s="1726">
        <f t="shared" si="15"/>
        <v>0</v>
      </c>
      <c r="R135" s="1726">
        <f t="shared" si="15"/>
        <v>0</v>
      </c>
      <c r="S135" s="1726">
        <f t="shared" si="15"/>
        <v>0</v>
      </c>
      <c r="T135" s="1726">
        <f t="shared" si="15"/>
        <v>0</v>
      </c>
      <c r="U135" s="1726">
        <f t="shared" si="15"/>
        <v>0</v>
      </c>
      <c r="V135" s="1726">
        <f t="shared" si="15"/>
        <v>0</v>
      </c>
      <c r="W135" s="1726">
        <f t="shared" si="15"/>
        <v>0</v>
      </c>
      <c r="X135" s="1726">
        <f t="shared" si="15"/>
        <v>0</v>
      </c>
      <c r="Y135" s="1726">
        <f t="shared" si="15"/>
        <v>0</v>
      </c>
      <c r="Z135" s="1726">
        <f t="shared" si="15"/>
        <v>0</v>
      </c>
      <c r="AA135" s="1726">
        <f t="shared" si="15"/>
        <v>0</v>
      </c>
      <c r="AB135" s="1726">
        <f t="shared" si="15"/>
        <v>0</v>
      </c>
      <c r="AC135" s="1726">
        <f t="shared" si="15"/>
        <v>0</v>
      </c>
      <c r="AD135" s="1726">
        <f t="shared" si="15"/>
        <v>0</v>
      </c>
      <c r="AE135" s="1726">
        <f t="shared" si="15"/>
        <v>0</v>
      </c>
      <c r="AF135" s="1726">
        <f t="shared" si="15"/>
        <v>0</v>
      </c>
      <c r="AG135" s="1726">
        <f t="shared" si="15"/>
        <v>2.675422598348545E-8</v>
      </c>
      <c r="AH135" s="1726">
        <f t="shared" si="15"/>
        <v>5.3117191095612778E-7</v>
      </c>
      <c r="AI135" s="1726">
        <f t="shared" si="15"/>
        <v>1.42482114755356E-6</v>
      </c>
      <c r="AJ135" s="1726">
        <f t="shared" si="15"/>
        <v>2.7599092684795267E-6</v>
      </c>
      <c r="AK135" s="1726">
        <f t="shared" si="15"/>
        <v>4.0008454135046946E-6</v>
      </c>
      <c r="AL135" s="1726">
        <f t="shared" si="15"/>
        <v>5.2394797931622884E-6</v>
      </c>
      <c r="AM135" s="1726"/>
    </row>
    <row r="136" spans="1:39" ht="15.75" customHeight="1" x14ac:dyDescent="0.25">
      <c r="A136" s="3"/>
      <c r="B136" s="3" t="str">
        <f t="shared" si="11"/>
        <v>Solvents</v>
      </c>
      <c r="C136" s="3" t="str">
        <f t="shared" si="11"/>
        <v>HFC</v>
      </c>
      <c r="D136" s="3" t="str">
        <f t="shared" si="11"/>
        <v>Other HFC</v>
      </c>
      <c r="E136" s="1728">
        <f t="shared" si="7"/>
        <v>3.1510713686054377</v>
      </c>
      <c r="F136" s="1726">
        <f t="shared" si="15"/>
        <v>0</v>
      </c>
      <c r="G136" s="1726">
        <f t="shared" si="15"/>
        <v>0</v>
      </c>
      <c r="H136" s="1726">
        <f t="shared" si="15"/>
        <v>0</v>
      </c>
      <c r="I136" s="1726">
        <f t="shared" si="15"/>
        <v>0</v>
      </c>
      <c r="J136" s="1726">
        <f t="shared" si="15"/>
        <v>0</v>
      </c>
      <c r="K136" s="1726">
        <f t="shared" si="15"/>
        <v>3.6895340353314807E-2</v>
      </c>
      <c r="L136" s="1726">
        <f t="shared" si="15"/>
        <v>7.5013708607581456E-2</v>
      </c>
      <c r="M136" s="1726">
        <f t="shared" si="15"/>
        <v>7.6274724587913678E-2</v>
      </c>
      <c r="N136" s="1726">
        <f t="shared" si="15"/>
        <v>7.7601608249692783E-2</v>
      </c>
      <c r="O136" s="1726">
        <f t="shared" si="15"/>
        <v>7.9003527765208068E-2</v>
      </c>
      <c r="P136" s="1726">
        <f t="shared" si="15"/>
        <v>8.0552885666341403E-2</v>
      </c>
      <c r="Q136" s="1726">
        <f t="shared" si="15"/>
        <v>8.2339461213361997E-2</v>
      </c>
      <c r="R136" s="1726">
        <f t="shared" si="15"/>
        <v>8.423839019765661E-2</v>
      </c>
      <c r="S136" s="1726">
        <f t="shared" si="15"/>
        <v>8.6072471945251416E-2</v>
      </c>
      <c r="T136" s="1726">
        <f t="shared" si="15"/>
        <v>8.7798273333118612E-2</v>
      </c>
      <c r="U136" s="1726">
        <f t="shared" si="15"/>
        <v>8.9473290976395156E-2</v>
      </c>
      <c r="V136" s="1726">
        <f t="shared" si="15"/>
        <v>9.0969277442397342E-2</v>
      </c>
      <c r="W136" s="1726">
        <f t="shared" si="15"/>
        <v>9.2354675016152493E-2</v>
      </c>
      <c r="X136" s="1726">
        <f t="shared" si="15"/>
        <v>9.3855157141695802E-2</v>
      </c>
      <c r="Y136" s="1726">
        <f t="shared" si="15"/>
        <v>9.5673661380565253E-2</v>
      </c>
      <c r="Z136" s="1726">
        <f t="shared" si="15"/>
        <v>9.7784910218402188E-2</v>
      </c>
      <c r="AA136" s="1726">
        <f t="shared" si="15"/>
        <v>9.9921397701715681E-2</v>
      </c>
      <c r="AB136" s="1726">
        <f t="shared" si="15"/>
        <v>0.10203318234352711</v>
      </c>
      <c r="AC136" s="1726">
        <f t="shared" si="15"/>
        <v>0.10402426790930927</v>
      </c>
      <c r="AD136" s="1726">
        <f t="shared" si="15"/>
        <v>0.1059779153224492</v>
      </c>
      <c r="AE136" s="1726">
        <f t="shared" si="15"/>
        <v>0.10784682703532115</v>
      </c>
      <c r="AF136" s="1726">
        <f t="shared" si="15"/>
        <v>0.10957893647893663</v>
      </c>
      <c r="AG136" s="1726">
        <f t="shared" si="15"/>
        <v>0.11149353166092983</v>
      </c>
      <c r="AH136" s="1726">
        <f t="shared" si="15"/>
        <v>0.11344031123521195</v>
      </c>
      <c r="AI136" s="1726">
        <f t="shared" si="15"/>
        <v>0.11543415356406504</v>
      </c>
      <c r="AJ136" s="1726">
        <f t="shared" si="15"/>
        <v>0.11887177959295113</v>
      </c>
      <c r="AK136" s="1726">
        <f t="shared" si="15"/>
        <v>0.12109653922267896</v>
      </c>
      <c r="AL136" s="1726">
        <f t="shared" si="15"/>
        <v>0.12287478918635014</v>
      </c>
      <c r="AM136" s="1726"/>
    </row>
    <row r="137" spans="1:39" ht="15.75" customHeight="1" x14ac:dyDescent="0.25">
      <c r="A137" s="3"/>
      <c r="B137" s="3" t="str">
        <f t="shared" ref="B137:D139" si="16">B47</f>
        <v>Fire protection</v>
      </c>
      <c r="C137" s="3" t="str">
        <f t="shared" si="16"/>
        <v>PFC</v>
      </c>
      <c r="D137" s="3" t="str">
        <f t="shared" si="16"/>
        <v>Other PFC</v>
      </c>
      <c r="E137" s="1728">
        <f t="shared" si="7"/>
        <v>2.6679827806397554</v>
      </c>
      <c r="F137" s="1726">
        <f t="shared" si="15"/>
        <v>0</v>
      </c>
      <c r="G137" s="1726">
        <f t="shared" si="15"/>
        <v>0</v>
      </c>
      <c r="H137" s="1726">
        <f t="shared" si="15"/>
        <v>0</v>
      </c>
      <c r="I137" s="1726">
        <f t="shared" si="15"/>
        <v>0</v>
      </c>
      <c r="J137" s="1726">
        <f t="shared" si="15"/>
        <v>4.6158105848900404E-6</v>
      </c>
      <c r="K137" s="1726">
        <f t="shared" si="15"/>
        <v>5.064464962980319E-5</v>
      </c>
      <c r="L137" s="1726">
        <f t="shared" si="15"/>
        <v>1.2389415030896646E-4</v>
      </c>
      <c r="M137" s="1726">
        <f t="shared" si="15"/>
        <v>2.3329204045711784E-4</v>
      </c>
      <c r="N137" s="1726">
        <f t="shared" si="15"/>
        <v>3.7869919885480743E-4</v>
      </c>
      <c r="O137" s="1726">
        <f t="shared" si="15"/>
        <v>5.7380865725632053E-4</v>
      </c>
      <c r="P137" s="1726">
        <f t="shared" si="15"/>
        <v>7.5568183355076987E-4</v>
      </c>
      <c r="Q137" s="1726">
        <f t="shared" si="15"/>
        <v>9.352122267314698E-4</v>
      </c>
      <c r="R137" s="1726">
        <f t="shared" si="15"/>
        <v>1.1027346633097816E-3</v>
      </c>
      <c r="S137" s="1726">
        <f t="shared" si="15"/>
        <v>1.1046541927691269E-3</v>
      </c>
      <c r="T137" s="1726">
        <f t="shared" si="15"/>
        <v>1.1047091948710704E-3</v>
      </c>
      <c r="U137" s="1726">
        <f t="shared" si="15"/>
        <v>1.1037044287464223E-3</v>
      </c>
      <c r="V137" s="1726">
        <f t="shared" si="15"/>
        <v>1.1001628955737044E-3</v>
      </c>
      <c r="W137" s="1726">
        <f t="shared" si="15"/>
        <v>1.0950234133070111E-3</v>
      </c>
      <c r="X137" s="1726">
        <f t="shared" si="15"/>
        <v>1.090996104985835E-3</v>
      </c>
      <c r="Y137" s="1726">
        <f t="shared" si="15"/>
        <v>1.0903232689380544E-3</v>
      </c>
      <c r="Z137" s="1726">
        <f t="shared" si="15"/>
        <v>1.0925297611513399E-3</v>
      </c>
      <c r="AA137" s="1726">
        <f t="shared" si="15"/>
        <v>1.0945168186013781E-3</v>
      </c>
      <c r="AB137" s="1726">
        <f t="shared" si="15"/>
        <v>1.0957275367356784E-3</v>
      </c>
      <c r="AC137" s="1726">
        <f t="shared" si="15"/>
        <v>1.0952047497793153E-3</v>
      </c>
      <c r="AD137" s="1726">
        <f t="shared" ref="AD137:AL137" si="17">AD47*$E137</f>
        <v>1.0938985159221542E-3</v>
      </c>
      <c r="AE137" s="1726">
        <f t="shared" si="17"/>
        <v>1.0913671311600472E-3</v>
      </c>
      <c r="AF137" s="1726">
        <f t="shared" si="17"/>
        <v>1.0871485531076101E-3</v>
      </c>
      <c r="AG137" s="1726">
        <f t="shared" si="17"/>
        <v>1.0844505475039175E-3</v>
      </c>
      <c r="AH137" s="1726">
        <f t="shared" si="17"/>
        <v>1.0817552011623693E-3</v>
      </c>
      <c r="AI137" s="1726">
        <f t="shared" si="17"/>
        <v>1.0791778464734234E-3</v>
      </c>
      <c r="AJ137" s="1726">
        <f t="shared" si="17"/>
        <v>1.0895250539624641E-3</v>
      </c>
      <c r="AK137" s="1726">
        <f t="shared" si="17"/>
        <v>1.0881502114454137E-3</v>
      </c>
      <c r="AL137" s="1726">
        <f t="shared" si="17"/>
        <v>1.0824823131390042E-3</v>
      </c>
      <c r="AM137" s="1726"/>
    </row>
    <row r="138" spans="1:39" ht="15.75" customHeight="1" x14ac:dyDescent="0.25">
      <c r="A138" s="3"/>
      <c r="B138" s="3" t="str">
        <f t="shared" si="16"/>
        <v>Solvents</v>
      </c>
      <c r="C138" s="3" t="str">
        <f t="shared" si="16"/>
        <v>PFC</v>
      </c>
      <c r="D138" s="3" t="str">
        <f t="shared" si="16"/>
        <v>Other PFC</v>
      </c>
      <c r="E138" s="1728">
        <f t="shared" si="7"/>
        <v>2.6679827806397554</v>
      </c>
      <c r="F138" s="1726">
        <f t="shared" ref="F138:AL139" si="18">F48*$E138</f>
        <v>0</v>
      </c>
      <c r="G138" s="1726">
        <f t="shared" si="18"/>
        <v>0</v>
      </c>
      <c r="H138" s="1726">
        <f t="shared" si="18"/>
        <v>0</v>
      </c>
      <c r="I138" s="1726">
        <f t="shared" si="18"/>
        <v>0</v>
      </c>
      <c r="J138" s="1726">
        <f t="shared" si="18"/>
        <v>0</v>
      </c>
      <c r="K138" s="1726">
        <f t="shared" si="18"/>
        <v>2.2535683039613976E-2</v>
      </c>
      <c r="L138" s="1726">
        <f t="shared" si="18"/>
        <v>5.4164482551011035E-2</v>
      </c>
      <c r="M138" s="1726">
        <f t="shared" si="18"/>
        <v>6.3564334455957813E-2</v>
      </c>
      <c r="N138" s="1726">
        <f t="shared" si="18"/>
        <v>6.4668665896530989E-2</v>
      </c>
      <c r="O138" s="1726">
        <f t="shared" si="18"/>
        <v>6.5838826123758978E-2</v>
      </c>
      <c r="P138" s="1726">
        <f t="shared" si="18"/>
        <v>5.2024735718055631E-2</v>
      </c>
      <c r="Q138" s="1726">
        <f t="shared" si="18"/>
        <v>3.7740732386413942E-2</v>
      </c>
      <c r="R138" s="1726">
        <f t="shared" si="18"/>
        <v>2.281763525316894E-2</v>
      </c>
      <c r="S138" s="1726">
        <f t="shared" si="18"/>
        <v>7.1724800153089028E-3</v>
      </c>
      <c r="T138" s="1726">
        <f t="shared" si="18"/>
        <v>7.3186585564070962E-3</v>
      </c>
      <c r="U138" s="1726">
        <f t="shared" si="18"/>
        <v>5.9653651351015066E-3</v>
      </c>
      <c r="V138" s="1726">
        <f t="shared" si="18"/>
        <v>4.5450343169845323E-3</v>
      </c>
      <c r="W138" s="1726">
        <f t="shared" si="18"/>
        <v>3.0783729645569467E-3</v>
      </c>
      <c r="X138" s="1726">
        <f t="shared" si="18"/>
        <v>1.5646631943695014E-3</v>
      </c>
      <c r="Y138" s="1726">
        <f t="shared" si="18"/>
        <v>0</v>
      </c>
      <c r="Z138" s="1726">
        <f t="shared" si="18"/>
        <v>0</v>
      </c>
      <c r="AA138" s="1726">
        <f t="shared" si="18"/>
        <v>0</v>
      </c>
      <c r="AB138" s="1726">
        <f t="shared" si="18"/>
        <v>0</v>
      </c>
      <c r="AC138" s="1726">
        <f t="shared" si="18"/>
        <v>0</v>
      </c>
      <c r="AD138" s="1726">
        <f t="shared" si="18"/>
        <v>0</v>
      </c>
      <c r="AE138" s="1726">
        <f t="shared" si="18"/>
        <v>0</v>
      </c>
      <c r="AF138" s="1726">
        <f t="shared" si="18"/>
        <v>0</v>
      </c>
      <c r="AG138" s="1726">
        <f t="shared" si="18"/>
        <v>0</v>
      </c>
      <c r="AH138" s="1726">
        <f t="shared" si="18"/>
        <v>0</v>
      </c>
      <c r="AI138" s="1726">
        <f t="shared" si="18"/>
        <v>0</v>
      </c>
      <c r="AJ138" s="1726">
        <f t="shared" si="18"/>
        <v>0</v>
      </c>
      <c r="AK138" s="1726">
        <f t="shared" si="18"/>
        <v>0</v>
      </c>
      <c r="AL138" s="1726">
        <f t="shared" si="18"/>
        <v>0</v>
      </c>
      <c r="AM138" s="1726"/>
    </row>
    <row r="139" spans="1:39" ht="15.75" customHeight="1" x14ac:dyDescent="0.25">
      <c r="A139" s="3"/>
      <c r="B139" s="3" t="str">
        <f t="shared" si="16"/>
        <v>Fire protection</v>
      </c>
      <c r="C139" s="3" t="str">
        <f t="shared" si="16"/>
        <v>PFC</v>
      </c>
      <c r="D139" s="3" t="str">
        <f t="shared" si="16"/>
        <v>PFC-14 (Perfluoromethane)</v>
      </c>
      <c r="E139" s="1728">
        <f t="shared" si="7"/>
        <v>0.79939668174962297</v>
      </c>
      <c r="F139" s="1726">
        <f t="shared" si="18"/>
        <v>0</v>
      </c>
      <c r="G139" s="1726">
        <f t="shared" si="18"/>
        <v>0</v>
      </c>
      <c r="H139" s="1726">
        <f t="shared" si="18"/>
        <v>0</v>
      </c>
      <c r="I139" s="1726">
        <f t="shared" si="18"/>
        <v>0</v>
      </c>
      <c r="J139" s="1726">
        <f t="shared" si="18"/>
        <v>3.5880253229869101E-7</v>
      </c>
      <c r="K139" s="1726">
        <f t="shared" si="18"/>
        <v>1.1531980384044935E-6</v>
      </c>
      <c r="L139" s="1726">
        <f t="shared" si="18"/>
        <v>1.0423361429727172E-5</v>
      </c>
      <c r="M139" s="1726">
        <f t="shared" si="18"/>
        <v>2.860443164778566E-5</v>
      </c>
      <c r="N139" s="1726">
        <f t="shared" si="18"/>
        <v>5.6234815991005604E-5</v>
      </c>
      <c r="O139" s="1726">
        <f t="shared" si="18"/>
        <v>9.3770841538530787E-5</v>
      </c>
      <c r="P139" s="1726">
        <f t="shared" si="18"/>
        <v>1.4162489918713957E-4</v>
      </c>
      <c r="Q139" s="1726">
        <f t="shared" si="18"/>
        <v>1.9098283947628373E-4</v>
      </c>
      <c r="R139" s="1726">
        <f t="shared" si="18"/>
        <v>2.3380142855728195E-4</v>
      </c>
      <c r="S139" s="1726">
        <f t="shared" si="18"/>
        <v>2.6900712008882629E-4</v>
      </c>
      <c r="T139" s="1726">
        <f t="shared" si="18"/>
        <v>2.9590277023990681E-4</v>
      </c>
      <c r="U139" s="1726">
        <f t="shared" si="18"/>
        <v>3.1402668591161013E-4</v>
      </c>
      <c r="V139" s="1726">
        <f t="shared" si="18"/>
        <v>3.2244234329665536E-4</v>
      </c>
      <c r="W139" s="1726">
        <f t="shared" si="18"/>
        <v>3.3055077108085795E-4</v>
      </c>
      <c r="X139" s="1726">
        <f t="shared" si="18"/>
        <v>3.3922723473823107E-4</v>
      </c>
      <c r="Y139" s="1726">
        <f t="shared" si="18"/>
        <v>3.4917762718940712E-4</v>
      </c>
      <c r="Z139" s="1726">
        <f t="shared" si="18"/>
        <v>3.6037765498920377E-4</v>
      </c>
      <c r="AA139" s="1726">
        <f t="shared" si="18"/>
        <v>3.7185938396114119E-4</v>
      </c>
      <c r="AB139" s="1726">
        <f t="shared" si="18"/>
        <v>3.8346240556669069E-4</v>
      </c>
      <c r="AC139" s="1726">
        <f t="shared" si="18"/>
        <v>3.9477979630641485E-4</v>
      </c>
      <c r="AD139" s="1726">
        <f t="shared" si="18"/>
        <v>4.0610920637117545E-4</v>
      </c>
      <c r="AE139" s="1726">
        <f t="shared" si="18"/>
        <v>4.1733351008638474E-4</v>
      </c>
      <c r="AF139" s="1726">
        <f t="shared" si="18"/>
        <v>4.2818806047870063E-4</v>
      </c>
      <c r="AG139" s="1726">
        <f t="shared" si="18"/>
        <v>4.3995083664784756E-4</v>
      </c>
      <c r="AH139" s="1726">
        <f t="shared" si="18"/>
        <v>4.5199982120665603E-4</v>
      </c>
      <c r="AI139" s="1726">
        <f t="shared" si="18"/>
        <v>4.644594836662696E-4</v>
      </c>
      <c r="AJ139" s="1726">
        <f t="shared" si="18"/>
        <v>4.357620293216674E-4</v>
      </c>
      <c r="AK139" s="1726">
        <f t="shared" si="18"/>
        <v>4.0112833373407282E-4</v>
      </c>
      <c r="AL139" s="1726">
        <f t="shared" si="18"/>
        <v>3.6408522469417461E-4</v>
      </c>
      <c r="AM139" s="1726"/>
    </row>
    <row r="140" spans="1:39"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row>
    <row r="141" spans="1:39" ht="15.75" customHeight="1" x14ac:dyDescent="0.25">
      <c r="A141" s="3"/>
      <c r="B141" s="1727" t="s">
        <v>1738</v>
      </c>
      <c r="C141" s="1724"/>
      <c r="D141" s="1724"/>
      <c r="E141" s="1724"/>
      <c r="F141" s="1724"/>
      <c r="G141" s="1724"/>
      <c r="H141" s="1724"/>
      <c r="I141" s="1724"/>
      <c r="J141" s="1724"/>
      <c r="K141" s="1724"/>
      <c r="L141" s="1724"/>
      <c r="M141" s="1724"/>
      <c r="N141" s="1724"/>
      <c r="O141" s="1724"/>
      <c r="P141" s="1724"/>
      <c r="Q141" s="1724"/>
      <c r="R141" s="1724"/>
      <c r="S141" s="1724"/>
      <c r="T141" s="1724"/>
      <c r="U141" s="1724"/>
      <c r="V141" s="1724"/>
      <c r="W141" s="1724"/>
      <c r="X141" s="1724"/>
      <c r="Y141" s="1724"/>
      <c r="Z141" s="1724"/>
      <c r="AA141" s="1724"/>
      <c r="AB141" s="1724"/>
      <c r="AC141" s="1724"/>
      <c r="AD141" s="1724"/>
      <c r="AE141" s="1724"/>
      <c r="AF141" s="1724"/>
      <c r="AG141" s="1724"/>
      <c r="AH141" s="1724"/>
      <c r="AI141" s="1724"/>
      <c r="AJ141" s="1724"/>
      <c r="AK141" s="1724"/>
      <c r="AL141" s="1724"/>
      <c r="AM141" s="1725"/>
    </row>
    <row r="142" spans="1:39"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row>
    <row r="143" spans="1:39" ht="15.75" customHeight="1" x14ac:dyDescent="0.25">
      <c r="A143" s="3"/>
      <c r="B143" s="1729" t="s">
        <v>2</v>
      </c>
      <c r="C143" s="1730"/>
      <c r="D143" s="1730"/>
      <c r="E143" s="1730"/>
      <c r="F143" s="1730"/>
      <c r="G143" s="1730"/>
      <c r="H143" s="1730"/>
      <c r="I143" s="1730"/>
      <c r="J143" s="1730"/>
      <c r="K143" s="1730"/>
      <c r="L143" s="1730"/>
      <c r="M143" s="1730"/>
      <c r="N143" s="1730"/>
      <c r="O143" s="1730"/>
      <c r="P143" s="1730"/>
      <c r="Q143" s="1730"/>
      <c r="R143" s="1730"/>
      <c r="S143" s="1730"/>
      <c r="T143" s="1730"/>
      <c r="U143" s="1730"/>
      <c r="V143" s="1730"/>
      <c r="W143" s="1730"/>
      <c r="X143" s="1730"/>
      <c r="Y143" s="1730"/>
      <c r="Z143" s="1730"/>
      <c r="AA143" s="1730"/>
      <c r="AB143" s="1730"/>
      <c r="AC143" s="1730"/>
      <c r="AD143" s="1730"/>
      <c r="AE143" s="1730"/>
      <c r="AF143" s="1730"/>
      <c r="AG143" s="1730"/>
      <c r="AH143" s="1730"/>
      <c r="AI143" s="1730"/>
      <c r="AJ143" s="1730"/>
      <c r="AK143" s="1730"/>
      <c r="AL143" s="1730"/>
      <c r="AM143" s="1733"/>
    </row>
    <row r="144" spans="1:39" ht="15.75" customHeight="1" x14ac:dyDescent="0.25">
      <c r="A144" s="3"/>
      <c r="B144" s="3"/>
      <c r="C144" s="3"/>
      <c r="D144" s="1714" t="s">
        <v>618</v>
      </c>
      <c r="E144" s="1714"/>
      <c r="F144" s="1714" t="s">
        <v>1635</v>
      </c>
      <c r="G144" s="1714" t="s">
        <v>1636</v>
      </c>
      <c r="H144" s="1714" t="s">
        <v>1637</v>
      </c>
      <c r="I144" s="1714" t="s">
        <v>1638</v>
      </c>
      <c r="J144" s="1714" t="s">
        <v>1639</v>
      </c>
      <c r="K144" s="1714" t="s">
        <v>1640</v>
      </c>
      <c r="L144" s="1714" t="s">
        <v>1641</v>
      </c>
      <c r="M144" s="1714" t="s">
        <v>1642</v>
      </c>
      <c r="N144" s="1714" t="s">
        <v>1643</v>
      </c>
      <c r="O144" s="1714" t="s">
        <v>1644</v>
      </c>
      <c r="P144" s="1714" t="s">
        <v>1645</v>
      </c>
      <c r="Q144" s="1714" t="s">
        <v>1646</v>
      </c>
      <c r="R144" s="1714" t="s">
        <v>1647</v>
      </c>
      <c r="S144" s="1714" t="s">
        <v>1648</v>
      </c>
      <c r="T144" s="1714" t="s">
        <v>1649</v>
      </c>
      <c r="U144" s="1714" t="s">
        <v>1650</v>
      </c>
      <c r="V144" s="1714" t="s">
        <v>1651</v>
      </c>
      <c r="W144" s="1714" t="s">
        <v>1652</v>
      </c>
      <c r="X144" s="1714" t="s">
        <v>1653</v>
      </c>
      <c r="Y144" s="1714" t="s">
        <v>1654</v>
      </c>
      <c r="Z144" s="1714" t="s">
        <v>1655</v>
      </c>
      <c r="AA144" s="1714" t="s">
        <v>1656</v>
      </c>
      <c r="AB144" s="1714" t="s">
        <v>1657</v>
      </c>
      <c r="AC144" s="1714" t="s">
        <v>1658</v>
      </c>
      <c r="AD144" s="1714" t="s">
        <v>1659</v>
      </c>
      <c r="AE144" s="1714" t="s">
        <v>1660</v>
      </c>
      <c r="AF144" s="1714" t="s">
        <v>1661</v>
      </c>
      <c r="AG144" s="1714" t="s">
        <v>1662</v>
      </c>
      <c r="AH144" s="1714" t="s">
        <v>1663</v>
      </c>
      <c r="AI144" s="1714" t="s">
        <v>1664</v>
      </c>
      <c r="AJ144" s="1714" t="s">
        <v>1665</v>
      </c>
      <c r="AK144" s="1714" t="s">
        <v>1666</v>
      </c>
      <c r="AL144" s="1714" t="s">
        <v>1667</v>
      </c>
      <c r="AM144" s="1714"/>
    </row>
    <row r="145" spans="1:39" ht="15.75" customHeight="1" x14ac:dyDescent="0.25">
      <c r="A145" s="3"/>
      <c r="B145" s="3"/>
      <c r="C145" s="3"/>
      <c r="D145" s="3" t="s">
        <v>1669</v>
      </c>
      <c r="E145" s="3"/>
      <c r="F145" s="1726">
        <f t="shared" ref="F145:AL152" si="19">SUMIF($D$16:$D$49,$D145,F$16:F$49)</f>
        <v>2.6131014791080082E-7</v>
      </c>
      <c r="G145" s="1726">
        <f t="shared" si="19"/>
        <v>4.1898124909234098E-7</v>
      </c>
      <c r="H145" s="1726">
        <f t="shared" si="19"/>
        <v>5.8111866987456702E-7</v>
      </c>
      <c r="I145" s="1726">
        <f t="shared" si="19"/>
        <v>7.4840461171582204E-7</v>
      </c>
      <c r="J145" s="1726">
        <f t="shared" si="19"/>
        <v>9.2201719908830302E-7</v>
      </c>
      <c r="K145" s="1726">
        <f t="shared" si="19"/>
        <v>2.3052706395561522E-6</v>
      </c>
      <c r="L145" s="1726">
        <f t="shared" si="19"/>
        <v>4.4136082214367739E-6</v>
      </c>
      <c r="M145" s="1726">
        <f t="shared" si="19"/>
        <v>6.5946290152229707E-6</v>
      </c>
      <c r="N145" s="1726">
        <f t="shared" si="19"/>
        <v>8.8565132283437395E-6</v>
      </c>
      <c r="O145" s="1726">
        <f t="shared" si="19"/>
        <v>1.1509845363912519E-5</v>
      </c>
      <c r="P145" s="1726">
        <f t="shared" si="19"/>
        <v>1.2569649352965852E-5</v>
      </c>
      <c r="Q145" s="1726">
        <f t="shared" si="19"/>
        <v>1.3247157241468287E-5</v>
      </c>
      <c r="R145" s="1726">
        <f t="shared" si="19"/>
        <v>1.7288683860185458E-5</v>
      </c>
      <c r="S145" s="1726">
        <f t="shared" si="19"/>
        <v>2.1944993352741679E-5</v>
      </c>
      <c r="T145" s="1726">
        <f t="shared" si="19"/>
        <v>2.3330088569784589E-5</v>
      </c>
      <c r="U145" s="1726">
        <f t="shared" si="19"/>
        <v>2.4713909211711638E-5</v>
      </c>
      <c r="V145" s="1726">
        <f t="shared" si="19"/>
        <v>2.6092421796137101E-5</v>
      </c>
      <c r="W145" s="1726">
        <f t="shared" si="19"/>
        <v>2.7471143032289743E-5</v>
      </c>
      <c r="X145" s="1726">
        <f t="shared" si="19"/>
        <v>2.8923391721581608E-5</v>
      </c>
      <c r="Y145" s="1726">
        <f t="shared" si="19"/>
        <v>3.1802293449473981E-5</v>
      </c>
      <c r="Z145" s="1726">
        <f t="shared" si="19"/>
        <v>3.5335146091815057E-5</v>
      </c>
      <c r="AA145" s="1726">
        <f t="shared" si="19"/>
        <v>3.771742776819257E-5</v>
      </c>
      <c r="AB145" s="1726">
        <f t="shared" si="19"/>
        <v>3.956228490669917E-5</v>
      </c>
      <c r="AC145" s="1726">
        <f t="shared" si="19"/>
        <v>4.1703195498338638E-5</v>
      </c>
      <c r="AD145" s="1726">
        <f t="shared" si="19"/>
        <v>4.4100162870311796E-5</v>
      </c>
      <c r="AE145" s="1726">
        <f t="shared" si="19"/>
        <v>4.6478452427122152E-5</v>
      </c>
      <c r="AF145" s="1726">
        <f t="shared" si="19"/>
        <v>4.9640579107816882E-5</v>
      </c>
      <c r="AG145" s="1726">
        <f t="shared" si="19"/>
        <v>5.2781854283047353E-5</v>
      </c>
      <c r="AH145" s="1726">
        <f t="shared" si="19"/>
        <v>5.6556118564366453E-5</v>
      </c>
      <c r="AI145" s="1726">
        <f t="shared" si="19"/>
        <v>6.0255123344093292E-5</v>
      </c>
      <c r="AJ145" s="1726">
        <f t="shared" si="19"/>
        <v>6.4760276546437561E-5</v>
      </c>
      <c r="AK145" s="1726">
        <f t="shared" si="19"/>
        <v>6.8680952135492248E-5</v>
      </c>
      <c r="AL145" s="1726">
        <f t="shared" si="19"/>
        <v>7.2638169923938342E-5</v>
      </c>
      <c r="AM145" s="1726"/>
    </row>
    <row r="146" spans="1:39" ht="15.75" customHeight="1" x14ac:dyDescent="0.25">
      <c r="A146" s="3"/>
      <c r="B146" s="3"/>
      <c r="C146" s="3"/>
      <c r="D146" s="3" t="s">
        <v>1673</v>
      </c>
      <c r="E146" s="3"/>
      <c r="F146" s="1726">
        <f t="shared" si="19"/>
        <v>2.0830797606810991E-6</v>
      </c>
      <c r="G146" s="1726">
        <f t="shared" si="19"/>
        <v>5.1310290580785562E-6</v>
      </c>
      <c r="H146" s="1726">
        <f t="shared" si="19"/>
        <v>9.8378592437783122E-6</v>
      </c>
      <c r="I146" s="1726">
        <f t="shared" si="19"/>
        <v>1.8322801458537179E-3</v>
      </c>
      <c r="J146" s="1726">
        <f t="shared" si="19"/>
        <v>4.8728700758485701E-3</v>
      </c>
      <c r="K146" s="1726">
        <f t="shared" si="19"/>
        <v>1.032790790201873E-2</v>
      </c>
      <c r="L146" s="1726">
        <f t="shared" si="19"/>
        <v>1.7579836613494621E-2</v>
      </c>
      <c r="M146" s="1726">
        <f t="shared" si="19"/>
        <v>2.7162326207427513E-2</v>
      </c>
      <c r="N146" s="1726">
        <f t="shared" si="19"/>
        <v>3.5568886265150208E-2</v>
      </c>
      <c r="O146" s="1726">
        <f t="shared" si="19"/>
        <v>4.6624095576810541E-2</v>
      </c>
      <c r="P146" s="1726">
        <f t="shared" si="19"/>
        <v>5.5812528268700944E-2</v>
      </c>
      <c r="Q146" s="1726">
        <f t="shared" si="19"/>
        <v>6.8048370774473177E-2</v>
      </c>
      <c r="R146" s="1726">
        <f t="shared" si="19"/>
        <v>8.2768776549837705E-2</v>
      </c>
      <c r="S146" s="1726">
        <f t="shared" si="19"/>
        <v>9.8916356993009324E-2</v>
      </c>
      <c r="T146" s="1726">
        <f t="shared" si="19"/>
        <v>0.11556638247448875</v>
      </c>
      <c r="U146" s="1726">
        <f t="shared" si="19"/>
        <v>0.14526687204559344</v>
      </c>
      <c r="V146" s="1726">
        <f t="shared" si="19"/>
        <v>0.1830632098883283</v>
      </c>
      <c r="W146" s="1726">
        <f t="shared" si="19"/>
        <v>0.23174112319779269</v>
      </c>
      <c r="X146" s="1726">
        <f t="shared" si="19"/>
        <v>0.28390434385766028</v>
      </c>
      <c r="Y146" s="1726">
        <f t="shared" si="19"/>
        <v>0.27859971478622109</v>
      </c>
      <c r="Z146" s="1726">
        <f t="shared" si="19"/>
        <v>0.32210415357467981</v>
      </c>
      <c r="AA146" s="1726">
        <f t="shared" si="19"/>
        <v>0.39741648529784546</v>
      </c>
      <c r="AB146" s="1726">
        <f t="shared" si="19"/>
        <v>0.48462378571764464</v>
      </c>
      <c r="AC146" s="1726">
        <f t="shared" si="19"/>
        <v>0.55505444606933285</v>
      </c>
      <c r="AD146" s="1726">
        <f t="shared" si="19"/>
        <v>0.70901828091073293</v>
      </c>
      <c r="AE146" s="1726">
        <f t="shared" si="19"/>
        <v>0.70273870248002923</v>
      </c>
      <c r="AF146" s="1726">
        <f t="shared" si="19"/>
        <v>0.83946166933053612</v>
      </c>
      <c r="AG146" s="1726">
        <f t="shared" si="19"/>
        <v>0.7570571447987452</v>
      </c>
      <c r="AH146" s="1726">
        <f t="shared" si="19"/>
        <v>0.89698849638908895</v>
      </c>
      <c r="AI146" s="1726">
        <f t="shared" si="19"/>
        <v>0.87324940282913732</v>
      </c>
      <c r="AJ146" s="1726">
        <f t="shared" si="19"/>
        <v>1.0488115191041207</v>
      </c>
      <c r="AK146" s="1726">
        <f t="shared" si="19"/>
        <v>1.2052278275521806</v>
      </c>
      <c r="AL146" s="1726">
        <f t="shared" si="19"/>
        <v>1.3102715128554596</v>
      </c>
      <c r="AM146" s="1726"/>
    </row>
    <row r="147" spans="1:39" ht="15.75" customHeight="1" x14ac:dyDescent="0.25">
      <c r="A147" s="3"/>
      <c r="B147" s="3"/>
      <c r="C147" s="3"/>
      <c r="D147" s="3" t="s">
        <v>1674</v>
      </c>
      <c r="E147" s="3"/>
      <c r="F147" s="1726">
        <f t="shared" si="19"/>
        <v>7.3244025391447861E-8</v>
      </c>
      <c r="G147" s="1726">
        <f t="shared" si="19"/>
        <v>1.8041422594940989E-7</v>
      </c>
      <c r="H147" s="1726">
        <f t="shared" si="19"/>
        <v>1.7305468372907699E-2</v>
      </c>
      <c r="I147" s="1726">
        <f t="shared" si="19"/>
        <v>7.4925704686498354E-2</v>
      </c>
      <c r="J147" s="1726">
        <f t="shared" si="19"/>
        <v>0.19437242912594571</v>
      </c>
      <c r="K147" s="1726">
        <f t="shared" si="19"/>
        <v>0.42043990479246957</v>
      </c>
      <c r="L147" s="1726">
        <f t="shared" si="19"/>
        <v>0.57077895030801606</v>
      </c>
      <c r="M147" s="1726">
        <f t="shared" si="19"/>
        <v>0.71861230090887829</v>
      </c>
      <c r="N147" s="1726">
        <f t="shared" si="19"/>
        <v>0.81537855364100809</v>
      </c>
      <c r="O147" s="1726">
        <f t="shared" si="19"/>
        <v>0.91840454486573297</v>
      </c>
      <c r="P147" s="1726">
        <f t="shared" si="19"/>
        <v>1.0138920699165108</v>
      </c>
      <c r="Q147" s="1726">
        <f t="shared" si="19"/>
        <v>1.099921829375319</v>
      </c>
      <c r="R147" s="1726">
        <f t="shared" si="19"/>
        <v>1.1430564572199273</v>
      </c>
      <c r="S147" s="1726">
        <f t="shared" si="19"/>
        <v>1.1753179048102371</v>
      </c>
      <c r="T147" s="1726">
        <f t="shared" si="19"/>
        <v>1.2037834327980339</v>
      </c>
      <c r="U147" s="1726">
        <f t="shared" si="19"/>
        <v>1.2199597151399479</v>
      </c>
      <c r="V147" s="1726">
        <f t="shared" si="19"/>
        <v>1.2551806216392776</v>
      </c>
      <c r="W147" s="1726">
        <f t="shared" si="19"/>
        <v>1.2865539388910998</v>
      </c>
      <c r="X147" s="1726">
        <f t="shared" si="19"/>
        <v>1.3225003277710556</v>
      </c>
      <c r="Y147" s="1726">
        <f t="shared" si="19"/>
        <v>1.3420090290171782</v>
      </c>
      <c r="Z147" s="1726">
        <f t="shared" si="19"/>
        <v>1.1707536276758914</v>
      </c>
      <c r="AA147" s="1726">
        <f t="shared" si="19"/>
        <v>1.1184166495883394</v>
      </c>
      <c r="AB147" s="1726">
        <f t="shared" si="19"/>
        <v>1.0675380710002969</v>
      </c>
      <c r="AC147" s="1726">
        <f t="shared" si="19"/>
        <v>1.2752792732097329</v>
      </c>
      <c r="AD147" s="1726">
        <f t="shared" si="19"/>
        <v>1.4140337681348132</v>
      </c>
      <c r="AE147" s="1726">
        <f t="shared" si="19"/>
        <v>1.2991554189853241</v>
      </c>
      <c r="AF147" s="1726">
        <f t="shared" si="19"/>
        <v>1.14971332178335</v>
      </c>
      <c r="AG147" s="1726">
        <f t="shared" si="19"/>
        <v>0.94420100804189</v>
      </c>
      <c r="AH147" s="1726">
        <f t="shared" si="19"/>
        <v>0.99854386556560959</v>
      </c>
      <c r="AI147" s="1726">
        <f t="shared" si="19"/>
        <v>0.9510207126878697</v>
      </c>
      <c r="AJ147" s="1726">
        <f t="shared" si="19"/>
        <v>1.038189858922832</v>
      </c>
      <c r="AK147" s="1726">
        <f t="shared" si="19"/>
        <v>0.96212652090184858</v>
      </c>
      <c r="AL147" s="1726">
        <f t="shared" si="19"/>
        <v>0.93120199342943333</v>
      </c>
      <c r="AM147" s="1726"/>
    </row>
    <row r="148" spans="1:39" ht="15.75" customHeight="1" x14ac:dyDescent="0.25">
      <c r="A148" s="3"/>
      <c r="B148" s="3"/>
      <c r="C148" s="3"/>
      <c r="D148" s="3" t="s">
        <v>1677</v>
      </c>
      <c r="E148" s="3"/>
      <c r="F148" s="1726">
        <f t="shared" si="19"/>
        <v>3.7240846201553312E-6</v>
      </c>
      <c r="G148" s="1726">
        <f t="shared" si="19"/>
        <v>9.1731419801768085E-6</v>
      </c>
      <c r="H148" s="1726">
        <f t="shared" si="19"/>
        <v>1.7587910456692571E-5</v>
      </c>
      <c r="I148" s="1726">
        <f t="shared" si="19"/>
        <v>1.318694796414364E-3</v>
      </c>
      <c r="J148" s="1726">
        <f t="shared" si="19"/>
        <v>3.6741288239772992E-3</v>
      </c>
      <c r="K148" s="1726">
        <f t="shared" si="19"/>
        <v>9.1767881134462714E-3</v>
      </c>
      <c r="L148" s="1726">
        <f t="shared" si="19"/>
        <v>1.7068477805663181E-2</v>
      </c>
      <c r="M148" s="1726">
        <f t="shared" si="19"/>
        <v>2.8260174203529932E-2</v>
      </c>
      <c r="N148" s="1726">
        <f t="shared" si="19"/>
        <v>4.0974398710055072E-2</v>
      </c>
      <c r="O148" s="1726">
        <f t="shared" si="19"/>
        <v>5.8511730201415091E-2</v>
      </c>
      <c r="P148" s="1726">
        <f t="shared" si="19"/>
        <v>7.2150615314809471E-2</v>
      </c>
      <c r="Q148" s="1726">
        <f t="shared" si="19"/>
        <v>8.9370065998305867E-2</v>
      </c>
      <c r="R148" s="1726">
        <f t="shared" si="19"/>
        <v>0.1087828117007227</v>
      </c>
      <c r="S148" s="1726">
        <f t="shared" si="19"/>
        <v>0.1288072809836224</v>
      </c>
      <c r="T148" s="1726">
        <f t="shared" si="19"/>
        <v>0.1472520743030476</v>
      </c>
      <c r="U148" s="1726">
        <f t="shared" si="19"/>
        <v>0.17825234594206199</v>
      </c>
      <c r="V148" s="1726">
        <f t="shared" si="19"/>
        <v>0.2118619930356147</v>
      </c>
      <c r="W148" s="1726">
        <f t="shared" si="19"/>
        <v>0.2496507682504136</v>
      </c>
      <c r="X148" s="1726">
        <f t="shared" si="19"/>
        <v>0.29254300276961481</v>
      </c>
      <c r="Y148" s="1726">
        <f t="shared" si="19"/>
        <v>0.32544677330981392</v>
      </c>
      <c r="Z148" s="1726">
        <f t="shared" si="19"/>
        <v>0.33349639492362038</v>
      </c>
      <c r="AA148" s="1726">
        <f t="shared" si="19"/>
        <v>0.41388764324358202</v>
      </c>
      <c r="AB148" s="1726">
        <f t="shared" si="19"/>
        <v>0.49996887401693491</v>
      </c>
      <c r="AC148" s="1726">
        <f t="shared" si="19"/>
        <v>0.56678410628142217</v>
      </c>
      <c r="AD148" s="1726">
        <f t="shared" si="19"/>
        <v>0.65334285974531225</v>
      </c>
      <c r="AE148" s="1726">
        <f t="shared" si="19"/>
        <v>0.65542007120561996</v>
      </c>
      <c r="AF148" s="1726">
        <f t="shared" si="19"/>
        <v>0.6741416043585654</v>
      </c>
      <c r="AG148" s="1726">
        <f t="shared" si="19"/>
        <v>0.50404953133319441</v>
      </c>
      <c r="AH148" s="1726">
        <f t="shared" si="19"/>
        <v>0.632093783017319</v>
      </c>
      <c r="AI148" s="1726">
        <f t="shared" si="19"/>
        <v>0.55417967019470238</v>
      </c>
      <c r="AJ148" s="1726">
        <f t="shared" si="19"/>
        <v>0.60943851858890463</v>
      </c>
      <c r="AK148" s="1726">
        <f t="shared" si="19"/>
        <v>0.61154888168151578</v>
      </c>
      <c r="AL148" s="1726">
        <f t="shared" si="19"/>
        <v>0.60870672771026657</v>
      </c>
      <c r="AM148" s="1726"/>
    </row>
    <row r="149" spans="1:39" ht="15.75" customHeight="1" x14ac:dyDescent="0.25">
      <c r="A149" s="3"/>
      <c r="B149" s="3"/>
      <c r="C149" s="3"/>
      <c r="D149" s="3" t="s">
        <v>1678</v>
      </c>
      <c r="E149" s="3"/>
      <c r="F149" s="1726">
        <f t="shared" si="19"/>
        <v>0</v>
      </c>
      <c r="G149" s="1726">
        <f t="shared" si="19"/>
        <v>0</v>
      </c>
      <c r="H149" s="1726">
        <f t="shared" si="19"/>
        <v>0</v>
      </c>
      <c r="I149" s="1726">
        <f t="shared" si="19"/>
        <v>0</v>
      </c>
      <c r="J149" s="1726">
        <f t="shared" si="19"/>
        <v>0</v>
      </c>
      <c r="K149" s="1726">
        <f t="shared" si="19"/>
        <v>9.3036146234324768E-6</v>
      </c>
      <c r="L149" s="1726">
        <f t="shared" si="19"/>
        <v>2.0863174107854798E-5</v>
      </c>
      <c r="M149" s="1726">
        <f t="shared" si="19"/>
        <v>3.9285248301842602E-5</v>
      </c>
      <c r="N149" s="1726">
        <f t="shared" si="19"/>
        <v>5.762449576632511E-5</v>
      </c>
      <c r="O149" s="1726">
        <f t="shared" si="19"/>
        <v>8.2822795964448826E-5</v>
      </c>
      <c r="P149" s="1726">
        <f t="shared" si="19"/>
        <v>1.080885242557396E-4</v>
      </c>
      <c r="Q149" s="1726">
        <f t="shared" si="19"/>
        <v>1.313657066049777E-4</v>
      </c>
      <c r="R149" s="1726">
        <f t="shared" si="19"/>
        <v>1.5256283657628139E-4</v>
      </c>
      <c r="S149" s="1726">
        <f t="shared" si="19"/>
        <v>1.6903747560248619E-4</v>
      </c>
      <c r="T149" s="1726">
        <f t="shared" si="19"/>
        <v>1.852557722608108E-4</v>
      </c>
      <c r="U149" s="1726">
        <f t="shared" si="19"/>
        <v>2.0359600424150949E-4</v>
      </c>
      <c r="V149" s="1726">
        <f t="shared" si="19"/>
        <v>2.1908588182021951E-4</v>
      </c>
      <c r="W149" s="1726">
        <f t="shared" si="19"/>
        <v>2.3642555806566921E-4</v>
      </c>
      <c r="X149" s="1726">
        <f t="shared" si="19"/>
        <v>2.5156468733034262E-4</v>
      </c>
      <c r="Y149" s="1726">
        <f t="shared" si="19"/>
        <v>2.6969387346895552E-4</v>
      </c>
      <c r="Z149" s="1726">
        <f t="shared" si="19"/>
        <v>2.9085115325012397E-4</v>
      </c>
      <c r="AA149" s="1726">
        <f t="shared" si="19"/>
        <v>3.0973479855850972E-4</v>
      </c>
      <c r="AB149" s="1726">
        <f t="shared" si="19"/>
        <v>3.330461144484584E-4</v>
      </c>
      <c r="AC149" s="1726">
        <f t="shared" si="19"/>
        <v>3.5354917845680422E-4</v>
      </c>
      <c r="AD149" s="1726">
        <f t="shared" si="19"/>
        <v>3.7605786330928268E-4</v>
      </c>
      <c r="AE149" s="1726">
        <f t="shared" si="19"/>
        <v>4.0035265374947169E-4</v>
      </c>
      <c r="AF149" s="1726">
        <f t="shared" si="19"/>
        <v>4.2387287872683359E-4</v>
      </c>
      <c r="AG149" s="1726">
        <f t="shared" si="19"/>
        <v>4.5009971253825049E-4</v>
      </c>
      <c r="AH149" s="1726">
        <f t="shared" si="19"/>
        <v>4.7619198320438021E-4</v>
      </c>
      <c r="AI149" s="1726">
        <f t="shared" si="19"/>
        <v>5.0446574040930326E-4</v>
      </c>
      <c r="AJ149" s="1726">
        <f t="shared" si="19"/>
        <v>5.3214126222195246E-4</v>
      </c>
      <c r="AK149" s="1726">
        <f t="shared" si="19"/>
        <v>5.5199864253537782E-4</v>
      </c>
      <c r="AL149" s="1726">
        <f t="shared" si="19"/>
        <v>5.6954536712445038E-4</v>
      </c>
      <c r="AM149" s="1726"/>
    </row>
    <row r="150" spans="1:39" ht="15.75" customHeight="1" x14ac:dyDescent="0.25">
      <c r="A150" s="3"/>
      <c r="B150" s="3"/>
      <c r="C150" s="3"/>
      <c r="D150" s="3" t="s">
        <v>1679</v>
      </c>
      <c r="E150" s="3"/>
      <c r="F150" s="1726">
        <f t="shared" si="19"/>
        <v>0</v>
      </c>
      <c r="G150" s="1726">
        <f t="shared" si="19"/>
        <v>0</v>
      </c>
      <c r="H150" s="1726">
        <f t="shared" si="19"/>
        <v>0</v>
      </c>
      <c r="I150" s="1726">
        <f t="shared" si="19"/>
        <v>1.094958153041211E-3</v>
      </c>
      <c r="J150" s="1726">
        <f t="shared" si="19"/>
        <v>3.3027020891527839E-3</v>
      </c>
      <c r="K150" s="1726">
        <f t="shared" si="19"/>
        <v>5.4743631396104624E-3</v>
      </c>
      <c r="L150" s="1726">
        <f t="shared" si="19"/>
        <v>6.8121740657830568E-3</v>
      </c>
      <c r="M150" s="1726">
        <f t="shared" si="19"/>
        <v>8.3410670284168095E-3</v>
      </c>
      <c r="N150" s="1726">
        <f t="shared" si="19"/>
        <v>9.9572823704379143E-3</v>
      </c>
      <c r="O150" s="1726">
        <f t="shared" si="19"/>
        <v>1.168215537078551E-2</v>
      </c>
      <c r="P150" s="1726">
        <f t="shared" si="19"/>
        <v>1.3329499808776166E-2</v>
      </c>
      <c r="Q150" s="1726">
        <f t="shared" si="19"/>
        <v>1.492037867650221E-2</v>
      </c>
      <c r="R150" s="1726">
        <f t="shared" si="19"/>
        <v>1.6438992374813818E-2</v>
      </c>
      <c r="S150" s="1726">
        <f t="shared" si="19"/>
        <v>1.765665900123696E-2</v>
      </c>
      <c r="T150" s="1726">
        <f t="shared" si="19"/>
        <v>1.8547113209606399E-2</v>
      </c>
      <c r="U150" s="1726">
        <f t="shared" si="19"/>
        <v>1.9104708688916918E-2</v>
      </c>
      <c r="V150" s="1726">
        <f t="shared" si="19"/>
        <v>1.9508098767425455E-2</v>
      </c>
      <c r="W150" s="1726">
        <f t="shared" si="19"/>
        <v>1.9767586817745951E-2</v>
      </c>
      <c r="X150" s="1726">
        <f t="shared" si="19"/>
        <v>1.993421451922665E-2</v>
      </c>
      <c r="Y150" s="1726">
        <f t="shared" si="19"/>
        <v>2.0052653708937083E-2</v>
      </c>
      <c r="Z150" s="1726">
        <f t="shared" si="19"/>
        <v>2.0231674925075455E-2</v>
      </c>
      <c r="AA150" s="1726">
        <f t="shared" si="19"/>
        <v>2.0413129257294611E-2</v>
      </c>
      <c r="AB150" s="1726">
        <f t="shared" si="19"/>
        <v>2.0583513151279879E-2</v>
      </c>
      <c r="AC150" s="1726">
        <f t="shared" si="19"/>
        <v>2.0981077544913854E-2</v>
      </c>
      <c r="AD150" s="1726">
        <f t="shared" si="19"/>
        <v>2.0336016869175022E-2</v>
      </c>
      <c r="AE150" s="1726">
        <f t="shared" si="19"/>
        <v>1.8312702314863333E-2</v>
      </c>
      <c r="AF150" s="1726">
        <f t="shared" si="19"/>
        <v>1.7082077012691398E-2</v>
      </c>
      <c r="AG150" s="1726">
        <f t="shared" si="19"/>
        <v>1.5882723113878155E-2</v>
      </c>
      <c r="AH150" s="1726">
        <f t="shared" si="19"/>
        <v>1.4583039348503281E-2</v>
      </c>
      <c r="AI150" s="1726">
        <f t="shared" si="19"/>
        <v>1.3401369922684994E-2</v>
      </c>
      <c r="AJ150" s="1726">
        <f t="shared" si="19"/>
        <v>1.2489218392264533E-2</v>
      </c>
      <c r="AK150" s="1726">
        <f t="shared" si="19"/>
        <v>1.1546807967944583E-2</v>
      </c>
      <c r="AL150" s="1726">
        <f t="shared" si="19"/>
        <v>1.0679883275602767E-2</v>
      </c>
      <c r="AM150" s="1726"/>
    </row>
    <row r="151" spans="1:39" ht="15.75" customHeight="1" x14ac:dyDescent="0.25">
      <c r="A151" s="3"/>
      <c r="B151" s="3"/>
      <c r="C151" s="3"/>
      <c r="D151" s="3" t="s">
        <v>1680</v>
      </c>
      <c r="E151" s="3"/>
      <c r="F151" s="1726">
        <f t="shared" si="19"/>
        <v>0</v>
      </c>
      <c r="G151" s="1726">
        <f t="shared" si="19"/>
        <v>0</v>
      </c>
      <c r="H151" s="1726">
        <f t="shared" si="19"/>
        <v>0</v>
      </c>
      <c r="I151" s="1726">
        <f t="shared" si="19"/>
        <v>0</v>
      </c>
      <c r="J151" s="1726">
        <f t="shared" si="19"/>
        <v>0</v>
      </c>
      <c r="K151" s="1726">
        <f t="shared" si="19"/>
        <v>0</v>
      </c>
      <c r="L151" s="1726">
        <f t="shared" si="19"/>
        <v>3.0469016963371702E-6</v>
      </c>
      <c r="M151" s="1726">
        <f t="shared" si="19"/>
        <v>8.6518110182798053E-6</v>
      </c>
      <c r="N151" s="1726">
        <f t="shared" si="19"/>
        <v>1.844517591183488E-5</v>
      </c>
      <c r="O151" s="1726">
        <f t="shared" si="19"/>
        <v>3.5786809654347221E-5</v>
      </c>
      <c r="P151" s="1726">
        <f t="shared" si="19"/>
        <v>1.651955955267768E-4</v>
      </c>
      <c r="Q151" s="1726">
        <f t="shared" si="19"/>
        <v>4.1358921209775327E-4</v>
      </c>
      <c r="R151" s="1726">
        <f t="shared" si="19"/>
        <v>8.1173569754559188E-4</v>
      </c>
      <c r="S151" s="1726">
        <f t="shared" si="19"/>
        <v>1.3502779681188589E-3</v>
      </c>
      <c r="T151" s="1726">
        <f t="shared" si="19"/>
        <v>2.0675901294666841E-3</v>
      </c>
      <c r="U151" s="1726">
        <f t="shared" si="19"/>
        <v>3.080495081027423E-3</v>
      </c>
      <c r="V151" s="1726">
        <f t="shared" si="19"/>
        <v>5.012036933085804E-3</v>
      </c>
      <c r="W151" s="1726">
        <f t="shared" si="19"/>
        <v>7.1895367644093308E-3</v>
      </c>
      <c r="X151" s="1726">
        <f t="shared" si="19"/>
        <v>9.4723877763723281E-3</v>
      </c>
      <c r="Y151" s="1726">
        <f t="shared" si="19"/>
        <v>1.2203848200017841E-2</v>
      </c>
      <c r="Z151" s="1726">
        <f t="shared" si="19"/>
        <v>1.7058702289811462E-2</v>
      </c>
      <c r="AA151" s="1726">
        <f t="shared" si="19"/>
        <v>3.0748644235615671E-2</v>
      </c>
      <c r="AB151" s="1726">
        <f t="shared" si="19"/>
        <v>3.2645818495296318E-2</v>
      </c>
      <c r="AC151" s="1726">
        <f t="shared" si="19"/>
        <v>4.8837634649829952E-2</v>
      </c>
      <c r="AD151" s="1726">
        <f t="shared" si="19"/>
        <v>6.0687208721937488E-2</v>
      </c>
      <c r="AE151" s="1726">
        <f t="shared" si="19"/>
        <v>7.3553730118908534E-2</v>
      </c>
      <c r="AF151" s="1726">
        <f t="shared" si="19"/>
        <v>8.4213997171858915E-2</v>
      </c>
      <c r="AG151" s="1726">
        <f t="shared" si="19"/>
        <v>8.0964713183116183E-2</v>
      </c>
      <c r="AH151" s="1726">
        <f t="shared" si="19"/>
        <v>9.7705256137823007E-2</v>
      </c>
      <c r="AI151" s="1726">
        <f t="shared" si="19"/>
        <v>0.1037901447480068</v>
      </c>
      <c r="AJ151" s="1726">
        <f t="shared" si="19"/>
        <v>0.1381303149748907</v>
      </c>
      <c r="AK151" s="1726">
        <f t="shared" si="19"/>
        <v>0.16864826115628431</v>
      </c>
      <c r="AL151" s="1726">
        <f t="shared" si="19"/>
        <v>0.1885012873241986</v>
      </c>
      <c r="AM151" s="1726"/>
    </row>
    <row r="152" spans="1:39" ht="15.75" customHeight="1" x14ac:dyDescent="0.25">
      <c r="A152" s="3"/>
      <c r="B152" s="3"/>
      <c r="C152" s="3"/>
      <c r="D152" s="3" t="s">
        <v>1681</v>
      </c>
      <c r="E152" s="3"/>
      <c r="F152" s="1726">
        <f t="shared" si="19"/>
        <v>4.7799061303962012E-3</v>
      </c>
      <c r="G152" s="1726">
        <f t="shared" si="19"/>
        <v>1.0063064170992987E-2</v>
      </c>
      <c r="H152" s="1726">
        <f t="shared" si="19"/>
        <v>1.0121952622423285E-2</v>
      </c>
      <c r="I152" s="1726">
        <f t="shared" si="19"/>
        <v>1.0277569196453418E-2</v>
      </c>
      <c r="J152" s="1726">
        <f t="shared" si="19"/>
        <v>1.1054365180283189E-2</v>
      </c>
      <c r="K152" s="1726">
        <f t="shared" si="19"/>
        <v>2.4079612325935897E-2</v>
      </c>
      <c r="L152" s="1726">
        <f t="shared" si="19"/>
        <v>3.9032626489515901E-2</v>
      </c>
      <c r="M152" s="1726">
        <f t="shared" si="19"/>
        <v>4.8525526869761776E-2</v>
      </c>
      <c r="N152" s="1726">
        <f t="shared" si="19"/>
        <v>6.1510154373347108E-2</v>
      </c>
      <c r="O152" s="1726">
        <f t="shared" si="19"/>
        <v>6.521356967274583E-2</v>
      </c>
      <c r="P152" s="1726">
        <f t="shared" si="19"/>
        <v>6.8124855701185302E-2</v>
      </c>
      <c r="Q152" s="1726">
        <f t="shared" si="19"/>
        <v>7.3909174482029411E-2</v>
      </c>
      <c r="R152" s="1726">
        <f t="shared" si="19"/>
        <v>9.1898280694211548E-2</v>
      </c>
      <c r="S152" s="1726">
        <f t="shared" si="19"/>
        <v>0.11218616720953045</v>
      </c>
      <c r="T152" s="1726">
        <f t="shared" si="19"/>
        <v>0.12081233334864004</v>
      </c>
      <c r="U152" s="1726">
        <f t="shared" si="19"/>
        <v>0.12962208341834908</v>
      </c>
      <c r="V152" s="1726">
        <f t="shared" si="19"/>
        <v>0.13639499854822631</v>
      </c>
      <c r="W152" s="1726">
        <f t="shared" si="19"/>
        <v>0.14443914301242577</v>
      </c>
      <c r="X152" s="1726">
        <f t="shared" si="19"/>
        <v>0.15200494418124483</v>
      </c>
      <c r="Y152" s="1726">
        <f t="shared" si="19"/>
        <v>0.16350602825587535</v>
      </c>
      <c r="Z152" s="1726">
        <f t="shared" si="19"/>
        <v>0.1761068664680159</v>
      </c>
      <c r="AA152" s="1726">
        <f t="shared" si="19"/>
        <v>0.18880506808610562</v>
      </c>
      <c r="AB152" s="1726">
        <f t="shared" si="19"/>
        <v>0.20129233643355085</v>
      </c>
      <c r="AC152" s="1726">
        <f t="shared" si="19"/>
        <v>0.21359172065041793</v>
      </c>
      <c r="AD152" s="1726">
        <f t="shared" ref="AD152:AL152" si="20">SUMIF($D$16:$D$49,$D152,AD$16:AD$49)</f>
        <v>0.22481759650762301</v>
      </c>
      <c r="AE152" s="1726">
        <f t="shared" si="20"/>
        <v>0.24760162556363813</v>
      </c>
      <c r="AF152" s="1726">
        <f t="shared" si="20"/>
        <v>0.26443392305588692</v>
      </c>
      <c r="AG152" s="1726">
        <f t="shared" si="20"/>
        <v>0.28314448226679401</v>
      </c>
      <c r="AH152" s="1726">
        <f t="shared" si="20"/>
        <v>0.29128932994965445</v>
      </c>
      <c r="AI152" s="1726">
        <f t="shared" si="20"/>
        <v>0.29276460851793995</v>
      </c>
      <c r="AJ152" s="1726">
        <f t="shared" si="20"/>
        <v>0.29282951913359256</v>
      </c>
      <c r="AK152" s="1726">
        <f t="shared" si="20"/>
        <v>0.29980647056303189</v>
      </c>
      <c r="AL152" s="1726">
        <f t="shared" si="20"/>
        <v>0.30845442602229906</v>
      </c>
      <c r="AM152" s="1726"/>
    </row>
    <row r="153" spans="1:39" ht="15.75" customHeight="1" x14ac:dyDescent="0.25">
      <c r="A153" s="3"/>
      <c r="B153" s="3"/>
      <c r="C153" s="3"/>
      <c r="D153" s="3" t="s">
        <v>1685</v>
      </c>
      <c r="E153" s="3"/>
      <c r="F153" s="1726">
        <f t="shared" ref="F153:AL154" si="21">SUMIF($D$16:$D$49,$D153,F$16:F$49)</f>
        <v>0</v>
      </c>
      <c r="G153" s="1726">
        <f t="shared" si="21"/>
        <v>0</v>
      </c>
      <c r="H153" s="1726">
        <f t="shared" si="21"/>
        <v>0</v>
      </c>
      <c r="I153" s="1726">
        <f t="shared" si="21"/>
        <v>0</v>
      </c>
      <c r="J153" s="1726">
        <f t="shared" si="21"/>
        <v>4.4884165832836251E-7</v>
      </c>
      <c r="K153" s="1726">
        <f t="shared" si="21"/>
        <v>1.4425854706833569E-6</v>
      </c>
      <c r="L153" s="1726">
        <f t="shared" si="21"/>
        <v>1.303903514699833E-5</v>
      </c>
      <c r="M153" s="1726">
        <f t="shared" si="21"/>
        <v>3.5782524872607343E-5</v>
      </c>
      <c r="N153" s="1726">
        <f t="shared" si="21"/>
        <v>7.034657170195606E-5</v>
      </c>
      <c r="O153" s="1726">
        <f t="shared" si="21"/>
        <v>1.1730201498121869E-4</v>
      </c>
      <c r="P153" s="1726">
        <f t="shared" si="21"/>
        <v>1.77164732379384E-4</v>
      </c>
      <c r="Q153" s="1726">
        <f t="shared" si="21"/>
        <v>2.3890872183542661E-4</v>
      </c>
      <c r="R153" s="1726">
        <f t="shared" si="21"/>
        <v>2.9247235308203383E-4</v>
      </c>
      <c r="S153" s="1726">
        <f t="shared" si="21"/>
        <v>3.3651268041300341E-4</v>
      </c>
      <c r="T153" s="1726">
        <f t="shared" si="21"/>
        <v>3.7015761635671358E-4</v>
      </c>
      <c r="U153" s="1726">
        <f t="shared" si="21"/>
        <v>3.9282960897999531E-4</v>
      </c>
      <c r="V153" s="1726">
        <f t="shared" si="21"/>
        <v>4.033571200107217E-4</v>
      </c>
      <c r="W153" s="1726">
        <f t="shared" si="21"/>
        <v>4.1350030420114872E-4</v>
      </c>
      <c r="X153" s="1726">
        <f t="shared" si="21"/>
        <v>4.2435406911593812E-4</v>
      </c>
      <c r="Y153" s="1726">
        <f t="shared" si="21"/>
        <v>4.3680144684259792E-4</v>
      </c>
      <c r="Z153" s="1726">
        <f t="shared" si="21"/>
        <v>4.508120476563058E-4</v>
      </c>
      <c r="AA153" s="1726">
        <f t="shared" si="21"/>
        <v>4.6517504069101248E-4</v>
      </c>
      <c r="AB153" s="1726">
        <f t="shared" si="21"/>
        <v>4.7968976394474697E-4</v>
      </c>
      <c r="AC153" s="1726">
        <f t="shared" si="21"/>
        <v>4.9384717915311894E-4</v>
      </c>
      <c r="AD153" s="1726">
        <f t="shared" si="21"/>
        <v>5.0801962985677228E-4</v>
      </c>
      <c r="AE153" s="1726">
        <f t="shared" si="21"/>
        <v>5.2206059846655298E-4</v>
      </c>
      <c r="AF153" s="1726">
        <f t="shared" si="21"/>
        <v>5.3563902659882739E-4</v>
      </c>
      <c r="AG153" s="1726">
        <f t="shared" si="21"/>
        <v>5.5035359376891116E-4</v>
      </c>
      <c r="AH153" s="1726">
        <f t="shared" si="21"/>
        <v>5.6542619143398667E-4</v>
      </c>
      <c r="AI153" s="1726">
        <f t="shared" si="21"/>
        <v>5.8101252390705045E-4</v>
      </c>
      <c r="AJ153" s="1726">
        <f t="shared" si="21"/>
        <v>5.4511363290616125E-4</v>
      </c>
      <c r="AK153" s="1726">
        <f t="shared" si="21"/>
        <v>5.0178884012394391E-4</v>
      </c>
      <c r="AL153" s="1726">
        <f t="shared" si="21"/>
        <v>4.5545000749478819E-4</v>
      </c>
      <c r="AM153" s="1726"/>
    </row>
    <row r="154" spans="1:39" ht="15.75" customHeight="1" x14ac:dyDescent="0.25">
      <c r="A154" s="3"/>
      <c r="B154" s="3"/>
      <c r="C154" s="3"/>
      <c r="D154" s="3" t="s">
        <v>1684</v>
      </c>
      <c r="E154" s="3"/>
      <c r="F154" s="1726">
        <f t="shared" si="21"/>
        <v>0</v>
      </c>
      <c r="G154" s="1726">
        <f t="shared" si="21"/>
        <v>0</v>
      </c>
      <c r="H154" s="1726">
        <f t="shared" si="21"/>
        <v>0</v>
      </c>
      <c r="I154" s="1726">
        <f t="shared" si="21"/>
        <v>0</v>
      </c>
      <c r="J154" s="1726">
        <f t="shared" si="21"/>
        <v>1.730075103327022E-6</v>
      </c>
      <c r="K154" s="1726">
        <f t="shared" si="21"/>
        <v>8.4656947013083059E-3</v>
      </c>
      <c r="L154" s="1726">
        <f t="shared" si="21"/>
        <v>2.0348098606656748E-2</v>
      </c>
      <c r="M154" s="1726">
        <f t="shared" si="21"/>
        <v>2.3912308190053948E-2</v>
      </c>
      <c r="N154" s="1726">
        <f t="shared" si="21"/>
        <v>2.4380728978988422E-2</v>
      </c>
      <c r="O154" s="1726">
        <f t="shared" si="21"/>
        <v>2.4892452553644376E-2</v>
      </c>
      <c r="P154" s="1726">
        <f t="shared" si="21"/>
        <v>1.9782892878697736E-2</v>
      </c>
      <c r="Q154" s="1726">
        <f t="shared" si="21"/>
        <v>1.4496324674131257E-2</v>
      </c>
      <c r="R154" s="1726">
        <f t="shared" si="21"/>
        <v>8.9657137557472757E-3</v>
      </c>
      <c r="S154" s="1726">
        <f t="shared" si="21"/>
        <v>3.1023941639133279E-3</v>
      </c>
      <c r="T154" s="1726">
        <f t="shared" si="21"/>
        <v>3.1572046912755293E-3</v>
      </c>
      <c r="U154" s="1726">
        <f t="shared" si="21"/>
        <v>2.6495933988572584E-3</v>
      </c>
      <c r="V154" s="1726">
        <f t="shared" si="21"/>
        <v>2.1159046653234301E-3</v>
      </c>
      <c r="W154" s="1726">
        <f t="shared" si="21"/>
        <v>1.5642516166701867E-3</v>
      </c>
      <c r="X154" s="1726">
        <f t="shared" si="21"/>
        <v>9.9538097420498938E-4</v>
      </c>
      <c r="Y154" s="1726">
        <f t="shared" si="21"/>
        <v>4.0866952997223088E-4</v>
      </c>
      <c r="Z154" s="1726">
        <f t="shared" si="21"/>
        <v>4.0949655637933401E-4</v>
      </c>
      <c r="AA154" s="1726">
        <f t="shared" si="21"/>
        <v>4.102413353428481E-4</v>
      </c>
      <c r="AB154" s="1726">
        <f t="shared" si="21"/>
        <v>4.1069513067581867E-4</v>
      </c>
      <c r="AC154" s="1726">
        <f t="shared" si="21"/>
        <v>4.1049918227609259E-4</v>
      </c>
      <c r="AD154" s="1726">
        <f t="shared" si="21"/>
        <v>4.1000958621623801E-4</v>
      </c>
      <c r="AE154" s="1726">
        <f t="shared" si="21"/>
        <v>4.0906078520429898E-4</v>
      </c>
      <c r="AF154" s="1726">
        <f t="shared" si="21"/>
        <v>4.0747959881769658E-4</v>
      </c>
      <c r="AG154" s="1726">
        <f t="shared" si="21"/>
        <v>4.0646834581289058E-4</v>
      </c>
      <c r="AH154" s="1726">
        <f t="shared" si="21"/>
        <v>4.0545808953945921E-4</v>
      </c>
      <c r="AI154" s="1726">
        <f t="shared" si="21"/>
        <v>4.0449205830880489E-4</v>
      </c>
      <c r="AJ154" s="1726">
        <f t="shared" si="21"/>
        <v>4.0837034701596048E-4</v>
      </c>
      <c r="AK154" s="1726">
        <f t="shared" si="21"/>
        <v>4.0785503540037322E-4</v>
      </c>
      <c r="AL154" s="1726">
        <f t="shared" si="21"/>
        <v>4.0573062202426801E-4</v>
      </c>
      <c r="AM154" s="1726"/>
    </row>
    <row r="155" spans="1:39" ht="15.75" customHeight="1" x14ac:dyDescent="0.25">
      <c r="A155" s="3"/>
      <c r="B155" s="3"/>
      <c r="C155" s="3"/>
      <c r="D155" s="3"/>
      <c r="E155" s="3"/>
      <c r="F155" s="1726"/>
      <c r="G155" s="1726"/>
      <c r="H155" s="1726"/>
      <c r="I155" s="1726"/>
      <c r="J155" s="1726"/>
      <c r="K155" s="1726"/>
      <c r="L155" s="1726"/>
      <c r="M155" s="1726"/>
      <c r="N155" s="1726"/>
      <c r="O155" s="1726"/>
      <c r="P155" s="1726"/>
      <c r="Q155" s="1726"/>
      <c r="R155" s="1726"/>
      <c r="S155" s="1726"/>
      <c r="T155" s="1726"/>
      <c r="U155" s="1726"/>
      <c r="V155" s="1726"/>
      <c r="W155" s="1726"/>
      <c r="X155" s="1726"/>
      <c r="Y155" s="1726"/>
      <c r="Z155" s="1726"/>
      <c r="AA155" s="1726"/>
      <c r="AB155" s="1726"/>
      <c r="AC155" s="1726"/>
      <c r="AD155" s="1726"/>
      <c r="AE155" s="1726"/>
      <c r="AF155" s="1726"/>
      <c r="AG155" s="1726"/>
      <c r="AH155" s="1726"/>
      <c r="AI155" s="1726"/>
      <c r="AJ155" s="1726"/>
      <c r="AK155" s="1726"/>
      <c r="AL155" s="1726"/>
      <c r="AM155" s="1726"/>
    </row>
    <row r="156" spans="1:39" ht="15.75" customHeight="1" x14ac:dyDescent="0.25">
      <c r="A156" s="3"/>
      <c r="B156" s="3"/>
      <c r="C156" s="3"/>
      <c r="D156" s="3" t="s">
        <v>3</v>
      </c>
      <c r="E156" s="3"/>
      <c r="F156" s="1726">
        <f t="shared" ref="F156:AL156" si="22">F145</f>
        <v>2.6131014791080082E-7</v>
      </c>
      <c r="G156" s="1726">
        <f t="shared" si="22"/>
        <v>4.1898124909234098E-7</v>
      </c>
      <c r="H156" s="1726">
        <f t="shared" si="22"/>
        <v>5.8111866987456702E-7</v>
      </c>
      <c r="I156" s="1726">
        <f t="shared" si="22"/>
        <v>7.4840461171582204E-7</v>
      </c>
      <c r="J156" s="1726">
        <f t="shared" si="22"/>
        <v>9.2201719908830302E-7</v>
      </c>
      <c r="K156" s="1726">
        <f t="shared" si="22"/>
        <v>2.3052706395561522E-6</v>
      </c>
      <c r="L156" s="1726">
        <f t="shared" si="22"/>
        <v>4.4136082214367739E-6</v>
      </c>
      <c r="M156" s="1726">
        <f t="shared" si="22"/>
        <v>6.5946290152229707E-6</v>
      </c>
      <c r="N156" s="1726">
        <f t="shared" si="22"/>
        <v>8.8565132283437395E-6</v>
      </c>
      <c r="O156" s="1726">
        <f t="shared" si="22"/>
        <v>1.1509845363912519E-5</v>
      </c>
      <c r="P156" s="1726">
        <f t="shared" si="22"/>
        <v>1.2569649352965852E-5</v>
      </c>
      <c r="Q156" s="1726">
        <f t="shared" si="22"/>
        <v>1.3247157241468287E-5</v>
      </c>
      <c r="R156" s="1726">
        <f t="shared" si="22"/>
        <v>1.7288683860185458E-5</v>
      </c>
      <c r="S156" s="1726">
        <f t="shared" si="22"/>
        <v>2.1944993352741679E-5</v>
      </c>
      <c r="T156" s="1726">
        <f t="shared" si="22"/>
        <v>2.3330088569784589E-5</v>
      </c>
      <c r="U156" s="1726">
        <f t="shared" si="22"/>
        <v>2.4713909211711638E-5</v>
      </c>
      <c r="V156" s="1726">
        <f t="shared" si="22"/>
        <v>2.6092421796137101E-5</v>
      </c>
      <c r="W156" s="1726">
        <f t="shared" si="22"/>
        <v>2.7471143032289743E-5</v>
      </c>
      <c r="X156" s="1726">
        <f t="shared" si="22"/>
        <v>2.8923391721581608E-5</v>
      </c>
      <c r="Y156" s="1726">
        <f t="shared" si="22"/>
        <v>3.1802293449473981E-5</v>
      </c>
      <c r="Z156" s="1726">
        <f t="shared" si="22"/>
        <v>3.5335146091815057E-5</v>
      </c>
      <c r="AA156" s="1726">
        <f t="shared" si="22"/>
        <v>3.771742776819257E-5</v>
      </c>
      <c r="AB156" s="1726">
        <f t="shared" si="22"/>
        <v>3.956228490669917E-5</v>
      </c>
      <c r="AC156" s="1726">
        <f t="shared" si="22"/>
        <v>4.1703195498338638E-5</v>
      </c>
      <c r="AD156" s="1726">
        <f t="shared" si="22"/>
        <v>4.4100162870311796E-5</v>
      </c>
      <c r="AE156" s="1726">
        <f t="shared" si="22"/>
        <v>4.6478452427122152E-5</v>
      </c>
      <c r="AF156" s="1726">
        <f t="shared" si="22"/>
        <v>4.9640579107816882E-5</v>
      </c>
      <c r="AG156" s="1726">
        <f t="shared" si="22"/>
        <v>5.2781854283047353E-5</v>
      </c>
      <c r="AH156" s="1726">
        <f t="shared" si="22"/>
        <v>5.6556118564366453E-5</v>
      </c>
      <c r="AI156" s="1726">
        <f t="shared" si="22"/>
        <v>6.0255123344093292E-5</v>
      </c>
      <c r="AJ156" s="1726">
        <f t="shared" si="22"/>
        <v>6.4760276546437561E-5</v>
      </c>
      <c r="AK156" s="1726">
        <f t="shared" si="22"/>
        <v>6.8680952135492248E-5</v>
      </c>
      <c r="AL156" s="1726">
        <f t="shared" si="22"/>
        <v>7.2638169923938342E-5</v>
      </c>
      <c r="AM156" s="1726"/>
    </row>
    <row r="157" spans="1:39" ht="15.75" customHeight="1" x14ac:dyDescent="0.25">
      <c r="A157" s="3"/>
      <c r="B157" s="3"/>
      <c r="C157" s="3"/>
      <c r="D157" s="3" t="s">
        <v>1672</v>
      </c>
      <c r="E157" s="3"/>
      <c r="F157" s="1726">
        <f t="shared" ref="F157:AL157" si="23">SUM(F146:F152)</f>
        <v>4.7857865388024291E-3</v>
      </c>
      <c r="G157" s="1726">
        <f t="shared" si="23"/>
        <v>1.0077548756257193E-2</v>
      </c>
      <c r="H157" s="1726">
        <f t="shared" si="23"/>
        <v>2.7454846765031453E-2</v>
      </c>
      <c r="I157" s="1726">
        <f t="shared" si="23"/>
        <v>8.9449206978261073E-2</v>
      </c>
      <c r="J157" s="1726">
        <f t="shared" si="23"/>
        <v>0.21727649529520757</v>
      </c>
      <c r="K157" s="1726">
        <f t="shared" si="23"/>
        <v>0.46950787988810433</v>
      </c>
      <c r="L157" s="1726">
        <f t="shared" si="23"/>
        <v>0.6512959753582771</v>
      </c>
      <c r="M157" s="1726">
        <f t="shared" si="23"/>
        <v>0.83094933227733447</v>
      </c>
      <c r="N157" s="1726">
        <f t="shared" si="23"/>
        <v>0.96346534503167647</v>
      </c>
      <c r="O157" s="1726">
        <f t="shared" si="23"/>
        <v>1.1005547052931088</v>
      </c>
      <c r="P157" s="1726">
        <f t="shared" si="23"/>
        <v>1.2235828531297652</v>
      </c>
      <c r="Q157" s="1726">
        <f t="shared" si="23"/>
        <v>1.3467147742253325</v>
      </c>
      <c r="R157" s="1726">
        <f t="shared" si="23"/>
        <v>1.4439096170736352</v>
      </c>
      <c r="S157" s="1726">
        <f t="shared" si="23"/>
        <v>1.534403684441358</v>
      </c>
      <c r="T157" s="1726">
        <f t="shared" si="23"/>
        <v>1.6082141820355442</v>
      </c>
      <c r="U157" s="1726">
        <f t="shared" si="23"/>
        <v>1.6954898163201382</v>
      </c>
      <c r="V157" s="1726">
        <f t="shared" si="23"/>
        <v>1.8112400446937782</v>
      </c>
      <c r="W157" s="1726">
        <f t="shared" si="23"/>
        <v>1.9395785224919528</v>
      </c>
      <c r="X157" s="1726">
        <f t="shared" si="23"/>
        <v>2.0806107855625049</v>
      </c>
      <c r="Y157" s="1726">
        <f t="shared" si="23"/>
        <v>2.1420877411515127</v>
      </c>
      <c r="Z157" s="1726">
        <f t="shared" si="23"/>
        <v>2.0400422710103445</v>
      </c>
      <c r="AA157" s="1726">
        <f t="shared" si="23"/>
        <v>2.1699973545073417</v>
      </c>
      <c r="AB157" s="1726">
        <f t="shared" si="23"/>
        <v>2.306985444929452</v>
      </c>
      <c r="AC157" s="1726">
        <f t="shared" si="23"/>
        <v>2.6808818075841065</v>
      </c>
      <c r="AD157" s="1726">
        <f t="shared" si="23"/>
        <v>3.0826117887529034</v>
      </c>
      <c r="AE157" s="1726">
        <f t="shared" si="23"/>
        <v>2.9971826033221327</v>
      </c>
      <c r="AF157" s="1726">
        <f t="shared" si="23"/>
        <v>3.0294704655916154</v>
      </c>
      <c r="AG157" s="1726">
        <f t="shared" si="23"/>
        <v>2.5857497024501561</v>
      </c>
      <c r="AH157" s="1726">
        <f t="shared" si="23"/>
        <v>2.9316799623912022</v>
      </c>
      <c r="AI157" s="1726">
        <f t="shared" si="23"/>
        <v>2.7889103746407504</v>
      </c>
      <c r="AJ157" s="1726">
        <f t="shared" si="23"/>
        <v>3.140421090378827</v>
      </c>
      <c r="AK157" s="1726">
        <f t="shared" si="23"/>
        <v>3.2594567684653413</v>
      </c>
      <c r="AL157" s="1726">
        <f t="shared" si="23"/>
        <v>3.3583853759843847</v>
      </c>
      <c r="AM157" s="1726"/>
    </row>
    <row r="158" spans="1:39" ht="15.75" customHeight="1" x14ac:dyDescent="0.25">
      <c r="A158" s="3"/>
      <c r="B158" s="3"/>
      <c r="C158" s="3"/>
      <c r="D158" s="3" t="s">
        <v>1683</v>
      </c>
      <c r="E158" s="3"/>
      <c r="F158" s="1726">
        <f t="shared" ref="F158:AL158" si="24">SUM(F153:F154)</f>
        <v>0</v>
      </c>
      <c r="G158" s="1726">
        <f t="shared" si="24"/>
        <v>0</v>
      </c>
      <c r="H158" s="1726">
        <f t="shared" si="24"/>
        <v>0</v>
      </c>
      <c r="I158" s="1726">
        <f t="shared" si="24"/>
        <v>0</v>
      </c>
      <c r="J158" s="1726">
        <f t="shared" si="24"/>
        <v>2.1789167616553847E-6</v>
      </c>
      <c r="K158" s="1726">
        <f t="shared" si="24"/>
        <v>8.467137286778989E-3</v>
      </c>
      <c r="L158" s="1726">
        <f t="shared" si="24"/>
        <v>2.0361137641803747E-2</v>
      </c>
      <c r="M158" s="1726">
        <f t="shared" si="24"/>
        <v>2.3948090714926557E-2</v>
      </c>
      <c r="N158" s="1726">
        <f t="shared" si="24"/>
        <v>2.4451075550690378E-2</v>
      </c>
      <c r="O158" s="1726">
        <f t="shared" si="24"/>
        <v>2.5009754568625593E-2</v>
      </c>
      <c r="P158" s="1726">
        <f t="shared" si="24"/>
        <v>1.9960057611077119E-2</v>
      </c>
      <c r="Q158" s="1726">
        <f t="shared" si="24"/>
        <v>1.4735233395966683E-2</v>
      </c>
      <c r="R158" s="1726">
        <f t="shared" si="24"/>
        <v>9.25818610882931E-3</v>
      </c>
      <c r="S158" s="1726">
        <f t="shared" si="24"/>
        <v>3.4389068443263313E-3</v>
      </c>
      <c r="T158" s="1726">
        <f t="shared" si="24"/>
        <v>3.5273623076322426E-3</v>
      </c>
      <c r="U158" s="1726">
        <f t="shared" si="24"/>
        <v>3.0424230078372537E-3</v>
      </c>
      <c r="V158" s="1726">
        <f t="shared" si="24"/>
        <v>2.5192617853341519E-3</v>
      </c>
      <c r="W158" s="1726">
        <f t="shared" si="24"/>
        <v>1.9777519208713356E-3</v>
      </c>
      <c r="X158" s="1726">
        <f t="shared" si="24"/>
        <v>1.4197350433209275E-3</v>
      </c>
      <c r="Y158" s="1726">
        <f t="shared" si="24"/>
        <v>8.4547097681482875E-4</v>
      </c>
      <c r="Z158" s="1726">
        <f t="shared" si="24"/>
        <v>8.6030860403563982E-4</v>
      </c>
      <c r="AA158" s="1726">
        <f t="shared" si="24"/>
        <v>8.7541637603386058E-4</v>
      </c>
      <c r="AB158" s="1726">
        <f t="shared" si="24"/>
        <v>8.903848946205657E-4</v>
      </c>
      <c r="AC158" s="1726">
        <f t="shared" si="24"/>
        <v>9.0434636142921153E-4</v>
      </c>
      <c r="AD158" s="1726">
        <f t="shared" si="24"/>
        <v>9.1802921607301029E-4</v>
      </c>
      <c r="AE158" s="1726">
        <f t="shared" si="24"/>
        <v>9.3112138367085196E-4</v>
      </c>
      <c r="AF158" s="1726">
        <f t="shared" si="24"/>
        <v>9.4311862541652397E-4</v>
      </c>
      <c r="AG158" s="1726">
        <f t="shared" si="24"/>
        <v>9.5682193958180175E-4</v>
      </c>
      <c r="AH158" s="1726">
        <f t="shared" si="24"/>
        <v>9.7088428097344588E-4</v>
      </c>
      <c r="AI158" s="1726">
        <f t="shared" si="24"/>
        <v>9.8550458221585528E-4</v>
      </c>
      <c r="AJ158" s="1726">
        <f t="shared" si="24"/>
        <v>9.5348397992212172E-4</v>
      </c>
      <c r="AK158" s="1726">
        <f t="shared" si="24"/>
        <v>9.0964387552431713E-4</v>
      </c>
      <c r="AL158" s="1726">
        <f t="shared" si="24"/>
        <v>8.6118062951905626E-4</v>
      </c>
      <c r="AM158" s="1726"/>
    </row>
    <row r="159" spans="1:39" ht="15.75" customHeight="1" x14ac:dyDescent="0.25">
      <c r="A159" s="3"/>
      <c r="B159" s="3"/>
      <c r="C159" s="3"/>
      <c r="D159" s="3"/>
      <c r="E159" s="3"/>
      <c r="F159" s="1726"/>
      <c r="G159" s="1726"/>
      <c r="H159" s="1726"/>
      <c r="I159" s="1726"/>
      <c r="J159" s="1726"/>
      <c r="K159" s="1726"/>
      <c r="L159" s="1726"/>
      <c r="M159" s="1726"/>
      <c r="N159" s="1726"/>
      <c r="O159" s="1726"/>
      <c r="P159" s="1726"/>
      <c r="Q159" s="1726"/>
      <c r="R159" s="1726"/>
      <c r="S159" s="1726"/>
      <c r="T159" s="1726"/>
      <c r="U159" s="1726"/>
      <c r="V159" s="1726"/>
      <c r="W159" s="1726"/>
      <c r="X159" s="1726"/>
      <c r="Y159" s="1726"/>
      <c r="Z159" s="1726"/>
      <c r="AA159" s="1726"/>
      <c r="AB159" s="1726"/>
      <c r="AC159" s="1726"/>
      <c r="AD159" s="1726"/>
      <c r="AE159" s="1726"/>
      <c r="AF159" s="1726"/>
      <c r="AG159" s="1726"/>
      <c r="AH159" s="1726"/>
      <c r="AI159" s="1726"/>
      <c r="AJ159" s="1726"/>
      <c r="AK159" s="1726"/>
      <c r="AL159" s="1726"/>
      <c r="AM159" s="1726"/>
    </row>
    <row r="160" spans="1:39" ht="15.75" customHeight="1" x14ac:dyDescent="0.25">
      <c r="A160" s="3"/>
      <c r="B160" s="3"/>
      <c r="C160" s="3"/>
      <c r="D160" s="3" t="s">
        <v>1739</v>
      </c>
      <c r="E160" s="3"/>
      <c r="F160" s="1726">
        <f t="shared" ref="F160:AL160" si="25">SUM(F156:F158)</f>
        <v>4.7860478489503396E-3</v>
      </c>
      <c r="G160" s="1726">
        <f t="shared" si="25"/>
        <v>1.0077967737506285E-2</v>
      </c>
      <c r="H160" s="1726">
        <f t="shared" si="25"/>
        <v>2.7455427883701328E-2</v>
      </c>
      <c r="I160" s="1726">
        <f t="shared" si="25"/>
        <v>8.9449955382872787E-2</v>
      </c>
      <c r="J160" s="1726">
        <f t="shared" si="25"/>
        <v>0.21727959622916831</v>
      </c>
      <c r="K160" s="1726">
        <f t="shared" si="25"/>
        <v>0.47797732244552288</v>
      </c>
      <c r="L160" s="1726">
        <f t="shared" si="25"/>
        <v>0.67166152660830225</v>
      </c>
      <c r="M160" s="1726">
        <f t="shared" si="25"/>
        <v>0.85490401762127621</v>
      </c>
      <c r="N160" s="1726">
        <f t="shared" si="25"/>
        <v>0.98792527709559519</v>
      </c>
      <c r="O160" s="1726">
        <f t="shared" si="25"/>
        <v>1.1255759697070984</v>
      </c>
      <c r="P160" s="1726">
        <f t="shared" si="25"/>
        <v>1.2435554803901954</v>
      </c>
      <c r="Q160" s="1726">
        <f t="shared" si="25"/>
        <v>1.3614632547785406</v>
      </c>
      <c r="R160" s="1726">
        <f t="shared" si="25"/>
        <v>1.4531850918663245</v>
      </c>
      <c r="S160" s="1726">
        <f t="shared" si="25"/>
        <v>1.5378645362790371</v>
      </c>
      <c r="T160" s="1726">
        <f t="shared" si="25"/>
        <v>1.6117648744317461</v>
      </c>
      <c r="U160" s="1726">
        <f t="shared" si="25"/>
        <v>1.6985569532371871</v>
      </c>
      <c r="V160" s="1726">
        <f t="shared" si="25"/>
        <v>1.8137853989009085</v>
      </c>
      <c r="W160" s="1726">
        <f t="shared" si="25"/>
        <v>1.9415837455558564</v>
      </c>
      <c r="X160" s="1726">
        <f t="shared" si="25"/>
        <v>2.0820594439975473</v>
      </c>
      <c r="Y160" s="1726">
        <f t="shared" si="25"/>
        <v>2.1429650144217769</v>
      </c>
      <c r="Z160" s="1726">
        <f t="shared" si="25"/>
        <v>2.0409379147604718</v>
      </c>
      <c r="AA160" s="1726">
        <f t="shared" si="25"/>
        <v>2.1709104883111436</v>
      </c>
      <c r="AB160" s="1726">
        <f t="shared" si="25"/>
        <v>2.3079153921089794</v>
      </c>
      <c r="AC160" s="1726">
        <f t="shared" si="25"/>
        <v>2.6818278571410339</v>
      </c>
      <c r="AD160" s="1726">
        <f t="shared" si="25"/>
        <v>3.0835739181318469</v>
      </c>
      <c r="AE160" s="1726">
        <f t="shared" si="25"/>
        <v>2.9981602031582306</v>
      </c>
      <c r="AF160" s="1726">
        <f t="shared" si="25"/>
        <v>3.0304632247961396</v>
      </c>
      <c r="AG160" s="1726">
        <f t="shared" si="25"/>
        <v>2.5867593062440211</v>
      </c>
      <c r="AH160" s="1726">
        <f t="shared" si="25"/>
        <v>2.93270740279074</v>
      </c>
      <c r="AI160" s="1726">
        <f t="shared" si="25"/>
        <v>2.7899561343463106</v>
      </c>
      <c r="AJ160" s="1726">
        <f t="shared" si="25"/>
        <v>3.1414393346352956</v>
      </c>
      <c r="AK160" s="1726">
        <f t="shared" si="25"/>
        <v>3.2604350932930011</v>
      </c>
      <c r="AL160" s="1726">
        <f t="shared" si="25"/>
        <v>3.3593191947838275</v>
      </c>
      <c r="AM160" s="1726"/>
    </row>
    <row r="161" spans="1:39"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row>
    <row r="162" spans="1:39" ht="15.75" customHeight="1" x14ac:dyDescent="0.25">
      <c r="A162" s="3"/>
      <c r="B162" s="1729" t="s">
        <v>1741</v>
      </c>
      <c r="C162" s="1730"/>
      <c r="D162" s="1730"/>
      <c r="E162" s="1730"/>
      <c r="F162" s="1730"/>
      <c r="G162" s="1730"/>
      <c r="H162" s="1730"/>
      <c r="I162" s="1730"/>
      <c r="J162" s="1730"/>
      <c r="K162" s="1730"/>
      <c r="L162" s="1730"/>
      <c r="M162" s="1730"/>
      <c r="N162" s="1730"/>
      <c r="O162" s="1730"/>
      <c r="P162" s="1730"/>
      <c r="Q162" s="1730"/>
      <c r="R162" s="1730"/>
      <c r="S162" s="1730"/>
      <c r="T162" s="1730"/>
      <c r="U162" s="1730"/>
      <c r="V162" s="1730"/>
      <c r="W162" s="1730"/>
      <c r="X162" s="1730"/>
      <c r="Y162" s="1730"/>
      <c r="Z162" s="1730"/>
      <c r="AA162" s="1730"/>
      <c r="AB162" s="1730"/>
      <c r="AC162" s="1730"/>
      <c r="AD162" s="1730"/>
      <c r="AE162" s="1730"/>
      <c r="AF162" s="1730"/>
      <c r="AG162" s="1730"/>
      <c r="AH162" s="1730"/>
      <c r="AI162" s="1730"/>
      <c r="AJ162" s="1730"/>
      <c r="AK162" s="1730"/>
      <c r="AL162" s="1730"/>
      <c r="AM162" s="1733"/>
    </row>
    <row r="163" spans="1:39" ht="15.75" customHeight="1" x14ac:dyDescent="0.25">
      <c r="A163" s="3"/>
      <c r="B163" s="3"/>
      <c r="C163" s="3"/>
      <c r="D163" s="1714" t="s">
        <v>618</v>
      </c>
      <c r="E163" s="1714"/>
      <c r="F163" s="1714" t="s">
        <v>1635</v>
      </c>
      <c r="G163" s="1714" t="s">
        <v>1636</v>
      </c>
      <c r="H163" s="1714" t="s">
        <v>1637</v>
      </c>
      <c r="I163" s="1714" t="s">
        <v>1638</v>
      </c>
      <c r="J163" s="1714" t="s">
        <v>1639</v>
      </c>
      <c r="K163" s="1714" t="s">
        <v>1640</v>
      </c>
      <c r="L163" s="1714" t="s">
        <v>1641</v>
      </c>
      <c r="M163" s="1714" t="s">
        <v>1642</v>
      </c>
      <c r="N163" s="1714" t="s">
        <v>1643</v>
      </c>
      <c r="O163" s="1714" t="s">
        <v>1644</v>
      </c>
      <c r="P163" s="1714" t="s">
        <v>1645</v>
      </c>
      <c r="Q163" s="1714" t="s">
        <v>1646</v>
      </c>
      <c r="R163" s="1714" t="s">
        <v>1647</v>
      </c>
      <c r="S163" s="1714" t="s">
        <v>1648</v>
      </c>
      <c r="T163" s="1714" t="s">
        <v>1649</v>
      </c>
      <c r="U163" s="1714" t="s">
        <v>1650</v>
      </c>
      <c r="V163" s="1714" t="s">
        <v>1651</v>
      </c>
      <c r="W163" s="1714" t="s">
        <v>1652</v>
      </c>
      <c r="X163" s="1714" t="s">
        <v>1653</v>
      </c>
      <c r="Y163" s="1714" t="s">
        <v>1654</v>
      </c>
      <c r="Z163" s="1714" t="s">
        <v>1655</v>
      </c>
      <c r="AA163" s="1714" t="s">
        <v>1656</v>
      </c>
      <c r="AB163" s="1714" t="s">
        <v>1657</v>
      </c>
      <c r="AC163" s="1714" t="s">
        <v>1658</v>
      </c>
      <c r="AD163" s="1714" t="s">
        <v>1659</v>
      </c>
      <c r="AE163" s="1714" t="s">
        <v>1660</v>
      </c>
      <c r="AF163" s="1714" t="s">
        <v>1661</v>
      </c>
      <c r="AG163" s="1714" t="s">
        <v>1662</v>
      </c>
      <c r="AH163" s="1714" t="s">
        <v>1663</v>
      </c>
      <c r="AI163" s="1714" t="s">
        <v>1664</v>
      </c>
      <c r="AJ163" s="1714" t="s">
        <v>1665</v>
      </c>
      <c r="AK163" s="1714" t="s">
        <v>1666</v>
      </c>
      <c r="AL163" s="1714" t="s">
        <v>1667</v>
      </c>
      <c r="AM163" s="1714"/>
    </row>
    <row r="164" spans="1:39" ht="15.75" customHeight="1" x14ac:dyDescent="0.25">
      <c r="A164" s="3"/>
      <c r="B164" s="3"/>
      <c r="C164" s="3"/>
      <c r="D164" s="3" t="s">
        <v>1669</v>
      </c>
      <c r="E164" s="3"/>
      <c r="F164" s="1726">
        <f t="shared" ref="F164:AL171" si="26">SUMIF($D$16:$D$49,$D164,F$106:F$139)</f>
        <v>2.6131014791080082E-7</v>
      </c>
      <c r="G164" s="1726">
        <f t="shared" si="26"/>
        <v>4.1898124909234098E-7</v>
      </c>
      <c r="H164" s="1726">
        <f t="shared" si="26"/>
        <v>5.8111866987456702E-7</v>
      </c>
      <c r="I164" s="1726">
        <f t="shared" si="26"/>
        <v>7.4840461171582204E-7</v>
      </c>
      <c r="J164" s="1726">
        <f t="shared" si="26"/>
        <v>9.2201719908830302E-7</v>
      </c>
      <c r="K164" s="1726">
        <f t="shared" si="26"/>
        <v>2.3052706395561522E-6</v>
      </c>
      <c r="L164" s="1726">
        <f t="shared" si="26"/>
        <v>4.4136082214367739E-6</v>
      </c>
      <c r="M164" s="1726">
        <f t="shared" si="26"/>
        <v>6.5946290152229707E-6</v>
      </c>
      <c r="N164" s="1726">
        <f t="shared" si="26"/>
        <v>8.8565132283437395E-6</v>
      </c>
      <c r="O164" s="1726">
        <f t="shared" si="26"/>
        <v>1.1509845363912519E-5</v>
      </c>
      <c r="P164" s="1726">
        <f t="shared" si="26"/>
        <v>1.2569649352965852E-5</v>
      </c>
      <c r="Q164" s="1726">
        <f t="shared" si="26"/>
        <v>1.3247157241468287E-5</v>
      </c>
      <c r="R164" s="1726">
        <f t="shared" si="26"/>
        <v>1.7288683860185458E-5</v>
      </c>
      <c r="S164" s="1726">
        <f t="shared" si="26"/>
        <v>2.1944993352741679E-5</v>
      </c>
      <c r="T164" s="1726">
        <f t="shared" si="26"/>
        <v>2.3330088569784589E-5</v>
      </c>
      <c r="U164" s="1726">
        <f t="shared" si="26"/>
        <v>2.4713909211711638E-5</v>
      </c>
      <c r="V164" s="1726">
        <f t="shared" si="26"/>
        <v>2.6092421796137101E-5</v>
      </c>
      <c r="W164" s="1726">
        <f t="shared" si="26"/>
        <v>2.7471143032289743E-5</v>
      </c>
      <c r="X164" s="1726">
        <f t="shared" si="26"/>
        <v>2.8923391721581608E-5</v>
      </c>
      <c r="Y164" s="1726">
        <f t="shared" si="26"/>
        <v>3.1802293449473981E-5</v>
      </c>
      <c r="Z164" s="1726">
        <f t="shared" si="26"/>
        <v>3.5335146091815057E-5</v>
      </c>
      <c r="AA164" s="1726">
        <f t="shared" si="26"/>
        <v>3.771742776819257E-5</v>
      </c>
      <c r="AB164" s="1726">
        <f t="shared" si="26"/>
        <v>3.956228490669917E-5</v>
      </c>
      <c r="AC164" s="1726">
        <f t="shared" si="26"/>
        <v>4.1703195498338638E-5</v>
      </c>
      <c r="AD164" s="1726">
        <f t="shared" si="26"/>
        <v>4.4100162870311796E-5</v>
      </c>
      <c r="AE164" s="1726">
        <f t="shared" si="26"/>
        <v>4.6478452427122152E-5</v>
      </c>
      <c r="AF164" s="1726">
        <f t="shared" si="26"/>
        <v>4.9640579107816882E-5</v>
      </c>
      <c r="AG164" s="1726">
        <f t="shared" si="26"/>
        <v>5.2781854283047353E-5</v>
      </c>
      <c r="AH164" s="1726">
        <f t="shared" si="26"/>
        <v>5.6556118564366453E-5</v>
      </c>
      <c r="AI164" s="1726">
        <f t="shared" si="26"/>
        <v>6.0255123344093292E-5</v>
      </c>
      <c r="AJ164" s="1726">
        <f t="shared" si="26"/>
        <v>6.4760276546437561E-5</v>
      </c>
      <c r="AK164" s="1726">
        <f t="shared" si="26"/>
        <v>6.8680952135492248E-5</v>
      </c>
      <c r="AL164" s="1726">
        <f t="shared" si="26"/>
        <v>7.2638169923938342E-5</v>
      </c>
      <c r="AM164" s="1726"/>
    </row>
    <row r="165" spans="1:39" ht="15.75" customHeight="1" x14ac:dyDescent="0.25">
      <c r="A165" s="3"/>
      <c r="B165" s="3"/>
      <c r="C165" s="3"/>
      <c r="D165" s="3" t="s">
        <v>1673</v>
      </c>
      <c r="E165" s="3"/>
      <c r="F165" s="1726">
        <f t="shared" si="26"/>
        <v>4.4290087025206964E-6</v>
      </c>
      <c r="G165" s="1726">
        <f t="shared" si="26"/>
        <v>1.0909506577744313E-5</v>
      </c>
      <c r="H165" s="1726">
        <f t="shared" si="26"/>
        <v>2.0917088739137484E-5</v>
      </c>
      <c r="I165" s="1726">
        <f t="shared" si="26"/>
        <v>3.8957628337709968E-3</v>
      </c>
      <c r="J165" s="1726">
        <f t="shared" si="26"/>
        <v>1.0360613347387812E-2</v>
      </c>
      <c r="K165" s="1726">
        <f t="shared" si="26"/>
        <v>2.1959021848456228E-2</v>
      </c>
      <c r="L165" s="1726">
        <f t="shared" si="26"/>
        <v>3.7377949140363957E-2</v>
      </c>
      <c r="M165" s="1726">
        <f t="shared" si="26"/>
        <v>5.7752075280145573E-2</v>
      </c>
      <c r="N165" s="1726">
        <f t="shared" si="26"/>
        <v>7.5625960071644294E-2</v>
      </c>
      <c r="O165" s="1726">
        <f t="shared" si="26"/>
        <v>9.9131357787918942E-2</v>
      </c>
      <c r="P165" s="1726">
        <f t="shared" si="26"/>
        <v>0.11866764685521905</v>
      </c>
      <c r="Q165" s="1726">
        <f t="shared" si="26"/>
        <v>0.14468328675708175</v>
      </c>
      <c r="R165" s="1726">
        <f t="shared" si="26"/>
        <v>0.17598156275896093</v>
      </c>
      <c r="S165" s="1726">
        <f t="shared" si="26"/>
        <v>0.21031427322803878</v>
      </c>
      <c r="T165" s="1726">
        <f t="shared" si="26"/>
        <v>0.245715273778566</v>
      </c>
      <c r="U165" s="1726">
        <f t="shared" si="26"/>
        <v>0.30886394876570972</v>
      </c>
      <c r="V165" s="1726">
        <f t="shared" si="26"/>
        <v>0.38922587843764445</v>
      </c>
      <c r="W165" s="1726">
        <f t="shared" si="26"/>
        <v>0.49272402850256242</v>
      </c>
      <c r="X165" s="1726">
        <f t="shared" si="26"/>
        <v>0.60363257968474149</v>
      </c>
      <c r="Y165" s="1726">
        <f t="shared" si="26"/>
        <v>0.59235396771581406</v>
      </c>
      <c r="Z165" s="1726">
        <f t="shared" si="26"/>
        <v>0.68485236438275776</v>
      </c>
      <c r="AA165" s="1726">
        <f t="shared" si="26"/>
        <v>0.84498016116955166</v>
      </c>
      <c r="AB165" s="1726">
        <f t="shared" si="26"/>
        <v>1.0303988377719007</v>
      </c>
      <c r="AC165" s="1726">
        <f t="shared" si="26"/>
        <v>1.1801473080464682</v>
      </c>
      <c r="AD165" s="1726">
        <f t="shared" si="26"/>
        <v>1.5075025909584669</v>
      </c>
      <c r="AE165" s="1726">
        <f t="shared" si="26"/>
        <v>1.4941510582698414</v>
      </c>
      <c r="AF165" s="1726">
        <f t="shared" si="26"/>
        <v>1.7848491013526226</v>
      </c>
      <c r="AG165" s="1726">
        <f t="shared" si="26"/>
        <v>1.6096420050295088</v>
      </c>
      <c r="AH165" s="1726">
        <f t="shared" si="26"/>
        <v>1.9071616610922586</v>
      </c>
      <c r="AI165" s="1726">
        <f t="shared" si="26"/>
        <v>1.856688004753434</v>
      </c>
      <c r="AJ165" s="1726">
        <f t="shared" si="26"/>
        <v>2.2299651857292662</v>
      </c>
      <c r="AK165" s="1726">
        <f t="shared" si="26"/>
        <v>2.5625348762465925</v>
      </c>
      <c r="AL165" s="1726">
        <f t="shared" si="26"/>
        <v>2.7858769705507251</v>
      </c>
      <c r="AM165" s="1726"/>
    </row>
    <row r="166" spans="1:39" ht="15.75" customHeight="1" x14ac:dyDescent="0.25">
      <c r="A166" s="3"/>
      <c r="B166" s="3"/>
      <c r="C166" s="3"/>
      <c r="D166" s="3" t="s">
        <v>1674</v>
      </c>
      <c r="E166" s="3"/>
      <c r="F166" s="1726">
        <f t="shared" si="26"/>
        <v>2.3325405009276472E-7</v>
      </c>
      <c r="G166" s="1726">
        <f t="shared" si="26"/>
        <v>5.7454991956196686E-7</v>
      </c>
      <c r="H166" s="1726">
        <f t="shared" si="26"/>
        <v>5.5111260818336824E-2</v>
      </c>
      <c r="I166" s="1726">
        <f t="shared" si="26"/>
        <v>0.23860955184777166</v>
      </c>
      <c r="J166" s="1726">
        <f t="shared" si="26"/>
        <v>0.61900142813955017</v>
      </c>
      <c r="K166" s="1726">
        <f t="shared" si="26"/>
        <v>1.3389393891083261</v>
      </c>
      <c r="L166" s="1726">
        <f t="shared" si="26"/>
        <v>1.8177114263655281</v>
      </c>
      <c r="M166" s="1726">
        <f t="shared" si="26"/>
        <v>2.2885037890482738</v>
      </c>
      <c r="N166" s="1726">
        <f t="shared" si="26"/>
        <v>2.5966670862105947</v>
      </c>
      <c r="O166" s="1726">
        <f t="shared" si="26"/>
        <v>2.924765242880103</v>
      </c>
      <c r="P166" s="1726">
        <f t="shared" si="26"/>
        <v>3.2288562841956576</v>
      </c>
      <c r="Q166" s="1726">
        <f t="shared" si="26"/>
        <v>3.5028279797029387</v>
      </c>
      <c r="R166" s="1726">
        <f t="shared" si="26"/>
        <v>3.6401951791465375</v>
      </c>
      <c r="S166" s="1726">
        <f t="shared" si="26"/>
        <v>3.742935481472601</v>
      </c>
      <c r="T166" s="1726">
        <f t="shared" si="26"/>
        <v>3.8335872398337383</v>
      </c>
      <c r="U166" s="1726">
        <f t="shared" si="26"/>
        <v>3.8851024774456797</v>
      </c>
      <c r="V166" s="1726">
        <f t="shared" si="26"/>
        <v>3.9972675181435449</v>
      </c>
      <c r="W166" s="1726">
        <f t="shared" si="26"/>
        <v>4.0971794669301174</v>
      </c>
      <c r="X166" s="1726">
        <f t="shared" si="26"/>
        <v>4.2116548899785924</v>
      </c>
      <c r="Y166" s="1726">
        <f t="shared" si="26"/>
        <v>4.2737826001008603</v>
      </c>
      <c r="Z166" s="1726">
        <f t="shared" si="26"/>
        <v>3.7284000142909148</v>
      </c>
      <c r="AA166" s="1726">
        <f t="shared" si="26"/>
        <v>3.5617268686890187</v>
      </c>
      <c r="AB166" s="1726">
        <f t="shared" si="26"/>
        <v>3.399698164570176</v>
      </c>
      <c r="AC166" s="1726">
        <f t="shared" si="26"/>
        <v>4.0612739931448418</v>
      </c>
      <c r="AD166" s="1726">
        <f t="shared" si="26"/>
        <v>4.5031536923677891</v>
      </c>
      <c r="AE166" s="1726">
        <f t="shared" si="26"/>
        <v>4.1373103343071094</v>
      </c>
      <c r="AF166" s="1726">
        <f t="shared" si="26"/>
        <v>3.6613947324485134</v>
      </c>
      <c r="AG166" s="1726">
        <f t="shared" si="26"/>
        <v>3.0069170563795575</v>
      </c>
      <c r="AH166" s="1726">
        <f t="shared" si="26"/>
        <v>3.1799781564935561</v>
      </c>
      <c r="AI166" s="1726">
        <f t="shared" si="26"/>
        <v>3.028635192713677</v>
      </c>
      <c r="AJ166" s="1726">
        <f t="shared" si="26"/>
        <v>3.3062353968773261</v>
      </c>
      <c r="AK166" s="1726">
        <f t="shared" si="26"/>
        <v>3.0640029204105019</v>
      </c>
      <c r="AL166" s="1726">
        <f t="shared" si="26"/>
        <v>2.9655201944598875</v>
      </c>
      <c r="AM166" s="1726"/>
    </row>
    <row r="167" spans="1:39" ht="15.75" customHeight="1" x14ac:dyDescent="0.25">
      <c r="A167" s="3"/>
      <c r="B167" s="3"/>
      <c r="C167" s="3"/>
      <c r="D167" s="3" t="s">
        <v>1677</v>
      </c>
      <c r="E167" s="3"/>
      <c r="F167" s="1726">
        <f t="shared" si="26"/>
        <v>6.0826715462537077E-6</v>
      </c>
      <c r="G167" s="1726">
        <f t="shared" si="26"/>
        <v>1.4982798567622121E-5</v>
      </c>
      <c r="H167" s="1726">
        <f t="shared" si="26"/>
        <v>2.8726920412597866E-5</v>
      </c>
      <c r="I167" s="1726">
        <f t="shared" si="26"/>
        <v>2.1538681674767943E-3</v>
      </c>
      <c r="J167" s="1726">
        <f t="shared" si="26"/>
        <v>6.0010770791629215E-3</v>
      </c>
      <c r="K167" s="1726">
        <f t="shared" si="26"/>
        <v>1.498875391862891E-2</v>
      </c>
      <c r="L167" s="1726">
        <f t="shared" si="26"/>
        <v>2.7878513749249861E-2</v>
      </c>
      <c r="M167" s="1726">
        <f t="shared" si="26"/>
        <v>4.6158284532432217E-2</v>
      </c>
      <c r="N167" s="1726">
        <f t="shared" si="26"/>
        <v>6.692485122642329E-2</v>
      </c>
      <c r="O167" s="1726">
        <f t="shared" si="26"/>
        <v>9.5569159328977984E-2</v>
      </c>
      <c r="P167" s="1726">
        <f t="shared" si="26"/>
        <v>0.11784600501418881</v>
      </c>
      <c r="Q167" s="1726">
        <f t="shared" si="26"/>
        <v>0.14597110779723291</v>
      </c>
      <c r="R167" s="1726">
        <f t="shared" si="26"/>
        <v>0.17767859244451373</v>
      </c>
      <c r="S167" s="1726">
        <f t="shared" si="26"/>
        <v>0.21038522560658326</v>
      </c>
      <c r="T167" s="1726">
        <f t="shared" si="26"/>
        <v>0.24051172136164439</v>
      </c>
      <c r="U167" s="1726">
        <f t="shared" si="26"/>
        <v>0.29114549837203457</v>
      </c>
      <c r="V167" s="1726">
        <f t="shared" si="26"/>
        <v>0.34604125529150404</v>
      </c>
      <c r="W167" s="1726">
        <f t="shared" si="26"/>
        <v>0.40776292147567555</v>
      </c>
      <c r="X167" s="1726">
        <f t="shared" si="26"/>
        <v>0.47782023785703753</v>
      </c>
      <c r="Y167" s="1726">
        <f t="shared" si="26"/>
        <v>0.53156306307269607</v>
      </c>
      <c r="Z167" s="1726">
        <f t="shared" si="26"/>
        <v>0.54471077837524662</v>
      </c>
      <c r="AA167" s="1726">
        <f t="shared" si="26"/>
        <v>0.6760164839645173</v>
      </c>
      <c r="AB167" s="1726">
        <f t="shared" si="26"/>
        <v>0.81661582756099371</v>
      </c>
      <c r="AC167" s="1726">
        <f t="shared" si="26"/>
        <v>0.92574737359298953</v>
      </c>
      <c r="AD167" s="1726">
        <f t="shared" si="26"/>
        <v>1.0671266709173433</v>
      </c>
      <c r="AE167" s="1726">
        <f t="shared" si="26"/>
        <v>1.0705194496358459</v>
      </c>
      <c r="AF167" s="1726">
        <f t="shared" si="26"/>
        <v>1.1010979537856569</v>
      </c>
      <c r="AG167" s="1726">
        <f t="shared" si="26"/>
        <v>0.82328090117755082</v>
      </c>
      <c r="AH167" s="1726">
        <f t="shared" si="26"/>
        <v>1.0324198455949543</v>
      </c>
      <c r="AI167" s="1726">
        <f t="shared" si="26"/>
        <v>0.90516012798468048</v>
      </c>
      <c r="AJ167" s="1726">
        <f t="shared" si="26"/>
        <v>0.99541624702854425</v>
      </c>
      <c r="AK167" s="1726">
        <f t="shared" si="26"/>
        <v>0.99886317341314246</v>
      </c>
      <c r="AL167" s="1726">
        <f t="shared" si="26"/>
        <v>0.99422098859343533</v>
      </c>
      <c r="AM167" s="1726"/>
    </row>
    <row r="168" spans="1:39" ht="15.75" customHeight="1" x14ac:dyDescent="0.25">
      <c r="A168" s="3"/>
      <c r="B168" s="3"/>
      <c r="C168" s="3"/>
      <c r="D168" s="3" t="s">
        <v>1678</v>
      </c>
      <c r="E168" s="3"/>
      <c r="F168" s="1726">
        <f t="shared" si="26"/>
        <v>0</v>
      </c>
      <c r="G168" s="1726">
        <f t="shared" si="26"/>
        <v>0</v>
      </c>
      <c r="H168" s="1726">
        <f t="shared" si="26"/>
        <v>0</v>
      </c>
      <c r="I168" s="1726">
        <f t="shared" si="26"/>
        <v>0</v>
      </c>
      <c r="J168" s="1726">
        <f t="shared" si="26"/>
        <v>0</v>
      </c>
      <c r="K168" s="1726">
        <f t="shared" si="26"/>
        <v>9.3036146234324768E-6</v>
      </c>
      <c r="L168" s="1726">
        <f t="shared" si="26"/>
        <v>2.0863174107854798E-5</v>
      </c>
      <c r="M168" s="1726">
        <f t="shared" si="26"/>
        <v>3.9285248301842602E-5</v>
      </c>
      <c r="N168" s="1726">
        <f t="shared" si="26"/>
        <v>5.762449576632511E-5</v>
      </c>
      <c r="O168" s="1726">
        <f t="shared" si="26"/>
        <v>8.2822795964448826E-5</v>
      </c>
      <c r="P168" s="1726">
        <f t="shared" si="26"/>
        <v>1.080885242557396E-4</v>
      </c>
      <c r="Q168" s="1726">
        <f t="shared" si="26"/>
        <v>1.313657066049777E-4</v>
      </c>
      <c r="R168" s="1726">
        <f t="shared" si="26"/>
        <v>1.5256283657628139E-4</v>
      </c>
      <c r="S168" s="1726">
        <f t="shared" si="26"/>
        <v>1.6903747560248619E-4</v>
      </c>
      <c r="T168" s="1726">
        <f t="shared" si="26"/>
        <v>1.852557722608108E-4</v>
      </c>
      <c r="U168" s="1726">
        <f t="shared" si="26"/>
        <v>2.0359600424150949E-4</v>
      </c>
      <c r="V168" s="1726">
        <f t="shared" si="26"/>
        <v>2.1908588182021951E-4</v>
      </c>
      <c r="W168" s="1726">
        <f t="shared" si="26"/>
        <v>2.3642555806566921E-4</v>
      </c>
      <c r="X168" s="1726">
        <f t="shared" si="26"/>
        <v>2.5156468733034262E-4</v>
      </c>
      <c r="Y168" s="1726">
        <f t="shared" si="26"/>
        <v>2.6969387346895552E-4</v>
      </c>
      <c r="Z168" s="1726">
        <f t="shared" si="26"/>
        <v>2.9085115325012397E-4</v>
      </c>
      <c r="AA168" s="1726">
        <f t="shared" si="26"/>
        <v>3.0973479855850972E-4</v>
      </c>
      <c r="AB168" s="1726">
        <f t="shared" si="26"/>
        <v>3.330461144484584E-4</v>
      </c>
      <c r="AC168" s="1726">
        <f t="shared" si="26"/>
        <v>3.5354917845680422E-4</v>
      </c>
      <c r="AD168" s="1726">
        <f t="shared" si="26"/>
        <v>3.7605786330928268E-4</v>
      </c>
      <c r="AE168" s="1726">
        <f t="shared" si="26"/>
        <v>4.0035265374947169E-4</v>
      </c>
      <c r="AF168" s="1726">
        <f t="shared" si="26"/>
        <v>4.2387287872683359E-4</v>
      </c>
      <c r="AG168" s="1726">
        <f t="shared" si="26"/>
        <v>4.5009971253825049E-4</v>
      </c>
      <c r="AH168" s="1726">
        <f t="shared" si="26"/>
        <v>4.7619198320438021E-4</v>
      </c>
      <c r="AI168" s="1726">
        <f t="shared" si="26"/>
        <v>5.0446574040930326E-4</v>
      </c>
      <c r="AJ168" s="1726">
        <f t="shared" si="26"/>
        <v>5.3214126222195246E-4</v>
      </c>
      <c r="AK168" s="1726">
        <f t="shared" si="26"/>
        <v>5.5199864253537782E-4</v>
      </c>
      <c r="AL168" s="1726">
        <f t="shared" si="26"/>
        <v>5.6954536712445038E-4</v>
      </c>
      <c r="AM168" s="1726"/>
    </row>
    <row r="169" spans="1:39" ht="15.75" customHeight="1" x14ac:dyDescent="0.25">
      <c r="A169" s="3"/>
      <c r="B169" s="3"/>
      <c r="C169" s="3"/>
      <c r="D169" s="3" t="s">
        <v>1679</v>
      </c>
      <c r="E169" s="3"/>
      <c r="F169" s="1726">
        <f t="shared" si="26"/>
        <v>0</v>
      </c>
      <c r="G169" s="1726">
        <f t="shared" si="26"/>
        <v>0</v>
      </c>
      <c r="H169" s="1726">
        <f t="shared" si="26"/>
        <v>0</v>
      </c>
      <c r="I169" s="1726">
        <f t="shared" si="26"/>
        <v>1.0120891116820127E-3</v>
      </c>
      <c r="J169" s="1726">
        <f t="shared" si="26"/>
        <v>3.0527457275667793E-3</v>
      </c>
      <c r="K169" s="1726">
        <f t="shared" si="26"/>
        <v>5.0600502965382063E-3</v>
      </c>
      <c r="L169" s="1726">
        <f t="shared" si="26"/>
        <v>6.2966125049731727E-3</v>
      </c>
      <c r="M169" s="1726">
        <f t="shared" si="26"/>
        <v>7.7097952061669014E-3</v>
      </c>
      <c r="N169" s="1726">
        <f t="shared" si="26"/>
        <v>9.2036915210623391E-3</v>
      </c>
      <c r="O169" s="1726">
        <f t="shared" si="26"/>
        <v>1.0798022023865018E-2</v>
      </c>
      <c r="P169" s="1726">
        <f t="shared" si="26"/>
        <v>1.2320691510593356E-2</v>
      </c>
      <c r="Q169" s="1726">
        <f t="shared" si="26"/>
        <v>1.3791168875923259E-2</v>
      </c>
      <c r="R169" s="1726">
        <f t="shared" si="26"/>
        <v>1.5194850272005327E-2</v>
      </c>
      <c r="S169" s="1726">
        <f t="shared" si="26"/>
        <v>1.6320360987495699E-2</v>
      </c>
      <c r="T169" s="1726">
        <f t="shared" si="26"/>
        <v>1.7143423500194498E-2</v>
      </c>
      <c r="U169" s="1726">
        <f t="shared" si="26"/>
        <v>1.7658818825363652E-2</v>
      </c>
      <c r="V169" s="1726">
        <f t="shared" si="26"/>
        <v>1.8031679381801443E-2</v>
      </c>
      <c r="W169" s="1726">
        <f t="shared" si="26"/>
        <v>1.827152875833838E-2</v>
      </c>
      <c r="X169" s="1726">
        <f t="shared" si="26"/>
        <v>1.8425545678441506E-2</v>
      </c>
      <c r="Y169" s="1726">
        <f t="shared" si="26"/>
        <v>1.8535021108136634E-2</v>
      </c>
      <c r="Z169" s="1726">
        <f t="shared" si="26"/>
        <v>1.8700493572185131E-2</v>
      </c>
      <c r="AA169" s="1726">
        <f t="shared" si="26"/>
        <v>1.8868215008293408E-2</v>
      </c>
      <c r="AB169" s="1726">
        <f t="shared" si="26"/>
        <v>1.9025703843304605E-2</v>
      </c>
      <c r="AC169" s="1726">
        <f t="shared" si="26"/>
        <v>1.9393179616576703E-2</v>
      </c>
      <c r="AD169" s="1726">
        <f t="shared" si="26"/>
        <v>1.8796938669398751E-2</v>
      </c>
      <c r="AE169" s="1726">
        <f t="shared" si="26"/>
        <v>1.692675338036375E-2</v>
      </c>
      <c r="AF169" s="1726">
        <f t="shared" si="26"/>
        <v>1.5789264732574554E-2</v>
      </c>
      <c r="AG169" s="1726">
        <f t="shared" si="26"/>
        <v>1.4680680793845194E-2</v>
      </c>
      <c r="AH169" s="1726">
        <f t="shared" si="26"/>
        <v>1.3479360191854769E-2</v>
      </c>
      <c r="AI169" s="1726">
        <f t="shared" si="26"/>
        <v>1.2387122323077322E-2</v>
      </c>
      <c r="AJ169" s="1726">
        <f t="shared" si="26"/>
        <v>1.1544004593346249E-2</v>
      </c>
      <c r="AK169" s="1726">
        <f t="shared" si="26"/>
        <v>1.0672918034886743E-2</v>
      </c>
      <c r="AL169" s="1726">
        <f t="shared" si="26"/>
        <v>9.8716042683921375E-3</v>
      </c>
      <c r="AM169" s="1726"/>
    </row>
    <row r="170" spans="1:39" ht="15.75" customHeight="1" x14ac:dyDescent="0.25">
      <c r="A170" s="3"/>
      <c r="B170" s="3"/>
      <c r="C170" s="3"/>
      <c r="D170" s="3" t="s">
        <v>1680</v>
      </c>
      <c r="E170" s="3"/>
      <c r="F170" s="1726">
        <f t="shared" si="26"/>
        <v>0</v>
      </c>
      <c r="G170" s="1726">
        <f t="shared" si="26"/>
        <v>0</v>
      </c>
      <c r="H170" s="1726">
        <f t="shared" si="26"/>
        <v>0</v>
      </c>
      <c r="I170" s="1726">
        <f t="shared" si="26"/>
        <v>0</v>
      </c>
      <c r="J170" s="1726">
        <f t="shared" si="26"/>
        <v>0</v>
      </c>
      <c r="K170" s="1726">
        <f t="shared" si="26"/>
        <v>0</v>
      </c>
      <c r="L170" s="1726">
        <f t="shared" si="26"/>
        <v>1.2106596105091562E-5</v>
      </c>
      <c r="M170" s="1726">
        <f t="shared" si="26"/>
        <v>3.4377210693017245E-5</v>
      </c>
      <c r="N170" s="1726">
        <f t="shared" si="26"/>
        <v>7.3290285380850554E-5</v>
      </c>
      <c r="O170" s="1726">
        <f t="shared" si="26"/>
        <v>1.421957429397253E-4</v>
      </c>
      <c r="P170" s="1726">
        <f t="shared" si="26"/>
        <v>6.5639018015809392E-4</v>
      </c>
      <c r="Q170" s="1726">
        <f t="shared" si="26"/>
        <v>1.6433603848492707E-3</v>
      </c>
      <c r="R170" s="1726">
        <f t="shared" si="26"/>
        <v>3.2253604525814506E-3</v>
      </c>
      <c r="S170" s="1726">
        <f t="shared" si="26"/>
        <v>5.3652108334412566E-3</v>
      </c>
      <c r="T170" s="1726">
        <f t="shared" si="26"/>
        <v>8.215387663612083E-3</v>
      </c>
      <c r="U170" s="1726">
        <f t="shared" si="26"/>
        <v>1.2240076466711622E-2</v>
      </c>
      <c r="V170" s="1726">
        <f t="shared" si="26"/>
        <v>1.9914888257017448E-2</v>
      </c>
      <c r="W170" s="1726">
        <f t="shared" si="26"/>
        <v>2.8566992461242391E-2</v>
      </c>
      <c r="X170" s="1726">
        <f t="shared" si="26"/>
        <v>3.7637700322661095E-2</v>
      </c>
      <c r="Y170" s="1726">
        <f t="shared" si="26"/>
        <v>4.8490918254132924E-2</v>
      </c>
      <c r="Z170" s="1726">
        <f t="shared" si="26"/>
        <v>6.7781254297773749E-2</v>
      </c>
      <c r="AA170" s="1726">
        <f t="shared" si="26"/>
        <v>0.12217703544136803</v>
      </c>
      <c r="AB170" s="1726">
        <f t="shared" si="26"/>
        <v>0.12971529062385095</v>
      </c>
      <c r="AC170" s="1726">
        <f t="shared" si="26"/>
        <v>0.19405204905176154</v>
      </c>
      <c r="AD170" s="1726">
        <f t="shared" si="26"/>
        <v>0.24113529019499533</v>
      </c>
      <c r="AE170" s="1726">
        <f t="shared" si="26"/>
        <v>0.29225928215637215</v>
      </c>
      <c r="AF170" s="1726">
        <f t="shared" si="26"/>
        <v>0.33461691638449109</v>
      </c>
      <c r="AG170" s="1726">
        <f t="shared" si="26"/>
        <v>0.32170617202744833</v>
      </c>
      <c r="AH170" s="1726">
        <f t="shared" si="26"/>
        <v>0.38822324816948878</v>
      </c>
      <c r="AI170" s="1726">
        <f t="shared" si="26"/>
        <v>0.41240101827494574</v>
      </c>
      <c r="AJ170" s="1726">
        <f t="shared" si="26"/>
        <v>0.54884866659151543</v>
      </c>
      <c r="AK170" s="1726">
        <f t="shared" si="26"/>
        <v>0.67010904358996282</v>
      </c>
      <c r="AL170" s="1726">
        <f t="shared" si="26"/>
        <v>0.74899329823056759</v>
      </c>
      <c r="AM170" s="1726"/>
    </row>
    <row r="171" spans="1:39" ht="15.75" customHeight="1" x14ac:dyDescent="0.25">
      <c r="A171" s="3"/>
      <c r="B171" s="3"/>
      <c r="C171" s="3"/>
      <c r="D171" s="3" t="s">
        <v>1681</v>
      </c>
      <c r="E171" s="3"/>
      <c r="F171" s="1726">
        <f t="shared" si="26"/>
        <v>1.5061825352113079E-2</v>
      </c>
      <c r="G171" s="1726">
        <f t="shared" si="26"/>
        <v>3.170943338965522E-2</v>
      </c>
      <c r="H171" s="1726">
        <f t="shared" si="26"/>
        <v>3.1894995102898741E-2</v>
      </c>
      <c r="I171" s="1726">
        <f t="shared" si="26"/>
        <v>3.2385354033805561E-2</v>
      </c>
      <c r="J171" s="1726">
        <f t="shared" si="26"/>
        <v>3.4833093617699248E-2</v>
      </c>
      <c r="K171" s="1726">
        <f t="shared" si="26"/>
        <v>7.5876576967375195E-2</v>
      </c>
      <c r="L171" s="1726">
        <f t="shared" si="26"/>
        <v>0.12299459177258373</v>
      </c>
      <c r="M171" s="1726">
        <f t="shared" si="26"/>
        <v>0.1529073983658002</v>
      </c>
      <c r="N171" s="1726">
        <f t="shared" si="26"/>
        <v>0.19382288632435463</v>
      </c>
      <c r="O171" s="1726">
        <f t="shared" si="26"/>
        <v>0.20549261224034526</v>
      </c>
      <c r="P171" s="1726">
        <f t="shared" si="26"/>
        <v>0.21466628229038193</v>
      </c>
      <c r="Q171" s="1726">
        <f t="shared" si="26"/>
        <v>0.23289308358758651</v>
      </c>
      <c r="R171" s="1726">
        <f t="shared" si="26"/>
        <v>0.28957804111959584</v>
      </c>
      <c r="S171" s="1726">
        <f t="shared" si="26"/>
        <v>0.35350661944753359</v>
      </c>
      <c r="T171" s="1726">
        <f t="shared" si="26"/>
        <v>0.38068828458931547</v>
      </c>
      <c r="U171" s="1726">
        <f t="shared" si="26"/>
        <v>0.40844843579854545</v>
      </c>
      <c r="V171" s="1726">
        <f t="shared" si="26"/>
        <v>0.42979037474629622</v>
      </c>
      <c r="W171" s="1726">
        <f t="shared" si="26"/>
        <v>0.45513804805236091</v>
      </c>
      <c r="X171" s="1726">
        <f t="shared" si="26"/>
        <v>0.47897842749598835</v>
      </c>
      <c r="Y171" s="1726">
        <f t="shared" si="26"/>
        <v>0.51521916423148051</v>
      </c>
      <c r="Z171" s="1726">
        <f t="shared" si="26"/>
        <v>0.55492530474218604</v>
      </c>
      <c r="AA171" s="1726">
        <f t="shared" si="26"/>
        <v>0.59493824429372766</v>
      </c>
      <c r="AB171" s="1726">
        <f t="shared" si="26"/>
        <v>0.63428651805545522</v>
      </c>
      <c r="AC171" s="1726">
        <f t="shared" si="26"/>
        <v>0.67304275551270287</v>
      </c>
      <c r="AD171" s="1726">
        <f t="shared" ref="AD171:AL171" si="27">SUMIF($D$16:$D$49,$D171,AD$106:AD$139)</f>
        <v>0.70841629151386076</v>
      </c>
      <c r="AE171" s="1726">
        <f t="shared" si="27"/>
        <v>0.7802103931337443</v>
      </c>
      <c r="AF171" s="1726">
        <f t="shared" si="27"/>
        <v>0.8332501638294183</v>
      </c>
      <c r="AG171" s="1726">
        <f t="shared" si="27"/>
        <v>0.89220847124950464</v>
      </c>
      <c r="AH171" s="1726">
        <f t="shared" si="27"/>
        <v>0.91787346758461841</v>
      </c>
      <c r="AI171" s="1726">
        <f t="shared" si="27"/>
        <v>0.92252217564186023</v>
      </c>
      <c r="AJ171" s="1726">
        <f t="shared" si="27"/>
        <v>0.92272671362436187</v>
      </c>
      <c r="AK171" s="1726">
        <f t="shared" si="27"/>
        <v>0.94471158551381873</v>
      </c>
      <c r="AL171" s="1726">
        <f t="shared" si="27"/>
        <v>0.97196191035849067</v>
      </c>
      <c r="AM171" s="1726"/>
    </row>
    <row r="172" spans="1:39" ht="15.75" customHeight="1" x14ac:dyDescent="0.25">
      <c r="A172" s="3"/>
      <c r="B172" s="3"/>
      <c r="C172" s="3"/>
      <c r="D172" s="3" t="s">
        <v>1685</v>
      </c>
      <c r="E172" s="3"/>
      <c r="F172" s="1726">
        <f t="shared" ref="F172:AL173" si="28">SUMIF($D$16:$D$49,$D172,F$106:F$139)</f>
        <v>0</v>
      </c>
      <c r="G172" s="1726">
        <f t="shared" si="28"/>
        <v>0</v>
      </c>
      <c r="H172" s="1726">
        <f t="shared" si="28"/>
        <v>0</v>
      </c>
      <c r="I172" s="1726">
        <f t="shared" si="28"/>
        <v>0</v>
      </c>
      <c r="J172" s="1726">
        <f t="shared" si="28"/>
        <v>3.5880253229869101E-7</v>
      </c>
      <c r="K172" s="1726">
        <f t="shared" si="28"/>
        <v>1.1531980384044935E-6</v>
      </c>
      <c r="L172" s="1726">
        <f t="shared" si="28"/>
        <v>1.0423361429727172E-5</v>
      </c>
      <c r="M172" s="1726">
        <f t="shared" si="28"/>
        <v>2.860443164778566E-5</v>
      </c>
      <c r="N172" s="1726">
        <f t="shared" si="28"/>
        <v>5.6234815991005604E-5</v>
      </c>
      <c r="O172" s="1726">
        <f t="shared" si="28"/>
        <v>9.3770841538530787E-5</v>
      </c>
      <c r="P172" s="1726">
        <f t="shared" si="28"/>
        <v>1.4162489918713957E-4</v>
      </c>
      <c r="Q172" s="1726">
        <f t="shared" si="28"/>
        <v>1.9098283947628373E-4</v>
      </c>
      <c r="R172" s="1726">
        <f t="shared" si="28"/>
        <v>2.3380142855728195E-4</v>
      </c>
      <c r="S172" s="1726">
        <f t="shared" si="28"/>
        <v>2.6900712008882629E-4</v>
      </c>
      <c r="T172" s="1726">
        <f t="shared" si="28"/>
        <v>2.9590277023990681E-4</v>
      </c>
      <c r="U172" s="1726">
        <f t="shared" si="28"/>
        <v>3.1402668591161013E-4</v>
      </c>
      <c r="V172" s="1726">
        <f t="shared" si="28"/>
        <v>3.2244234329665536E-4</v>
      </c>
      <c r="W172" s="1726">
        <f t="shared" si="28"/>
        <v>3.3055077108085795E-4</v>
      </c>
      <c r="X172" s="1726">
        <f t="shared" si="28"/>
        <v>3.3922723473823107E-4</v>
      </c>
      <c r="Y172" s="1726">
        <f t="shared" si="28"/>
        <v>3.4917762718940712E-4</v>
      </c>
      <c r="Z172" s="1726">
        <f t="shared" si="28"/>
        <v>3.6037765498920377E-4</v>
      </c>
      <c r="AA172" s="1726">
        <f t="shared" si="28"/>
        <v>3.7185938396114119E-4</v>
      </c>
      <c r="AB172" s="1726">
        <f t="shared" si="28"/>
        <v>3.8346240556669069E-4</v>
      </c>
      <c r="AC172" s="1726">
        <f t="shared" si="28"/>
        <v>3.9477979630641485E-4</v>
      </c>
      <c r="AD172" s="1726">
        <f t="shared" si="28"/>
        <v>4.0610920637117545E-4</v>
      </c>
      <c r="AE172" s="1726">
        <f t="shared" si="28"/>
        <v>4.1733351008638474E-4</v>
      </c>
      <c r="AF172" s="1726">
        <f t="shared" si="28"/>
        <v>4.2818806047870063E-4</v>
      </c>
      <c r="AG172" s="1726">
        <f t="shared" si="28"/>
        <v>4.3995083664784756E-4</v>
      </c>
      <c r="AH172" s="1726">
        <f t="shared" si="28"/>
        <v>4.5199982120665603E-4</v>
      </c>
      <c r="AI172" s="1726">
        <f t="shared" si="28"/>
        <v>4.644594836662696E-4</v>
      </c>
      <c r="AJ172" s="1726">
        <f t="shared" si="28"/>
        <v>4.357620293216674E-4</v>
      </c>
      <c r="AK172" s="1726">
        <f t="shared" si="28"/>
        <v>4.0112833373407282E-4</v>
      </c>
      <c r="AL172" s="1726">
        <f t="shared" si="28"/>
        <v>3.6408522469417461E-4</v>
      </c>
      <c r="AM172" s="1726"/>
    </row>
    <row r="173" spans="1:39" ht="15.75" customHeight="1" x14ac:dyDescent="0.25">
      <c r="A173" s="3"/>
      <c r="B173" s="3"/>
      <c r="C173" s="3"/>
      <c r="D173" s="3" t="s">
        <v>1684</v>
      </c>
      <c r="E173" s="3"/>
      <c r="F173" s="1726">
        <f t="shared" si="28"/>
        <v>0</v>
      </c>
      <c r="G173" s="1726">
        <f t="shared" si="28"/>
        <v>0</v>
      </c>
      <c r="H173" s="1726">
        <f t="shared" si="28"/>
        <v>0</v>
      </c>
      <c r="I173" s="1726">
        <f t="shared" si="28"/>
        <v>0</v>
      </c>
      <c r="J173" s="1726">
        <f t="shared" si="28"/>
        <v>4.6158105848900404E-6</v>
      </c>
      <c r="K173" s="1726">
        <f t="shared" si="28"/>
        <v>2.258632768924378E-2</v>
      </c>
      <c r="L173" s="1726">
        <f t="shared" si="28"/>
        <v>5.4288376701320001E-2</v>
      </c>
      <c r="M173" s="1726">
        <f t="shared" si="28"/>
        <v>6.3797626496414933E-2</v>
      </c>
      <c r="N173" s="1726">
        <f t="shared" si="28"/>
        <v>6.5047365095385792E-2</v>
      </c>
      <c r="O173" s="1726">
        <f t="shared" si="28"/>
        <v>6.6412634781015292E-2</v>
      </c>
      <c r="P173" s="1726">
        <f t="shared" si="28"/>
        <v>5.2780417551606403E-2</v>
      </c>
      <c r="Q173" s="1726">
        <f t="shared" si="28"/>
        <v>3.8675944613145413E-2</v>
      </c>
      <c r="R173" s="1726">
        <f t="shared" si="28"/>
        <v>2.3920369916478723E-2</v>
      </c>
      <c r="S173" s="1726">
        <f t="shared" si="28"/>
        <v>8.277134208078029E-3</v>
      </c>
      <c r="T173" s="1726">
        <f t="shared" si="28"/>
        <v>8.4233677512781657E-3</v>
      </c>
      <c r="U173" s="1726">
        <f t="shared" si="28"/>
        <v>7.0690695638479292E-3</v>
      </c>
      <c r="V173" s="1726">
        <f t="shared" si="28"/>
        <v>5.6451972125582369E-3</v>
      </c>
      <c r="W173" s="1726">
        <f t="shared" si="28"/>
        <v>4.1733963778639582E-3</v>
      </c>
      <c r="X173" s="1726">
        <f t="shared" si="28"/>
        <v>2.6556592993553364E-3</v>
      </c>
      <c r="Y173" s="1726">
        <f t="shared" si="28"/>
        <v>1.0903232689380544E-3</v>
      </c>
      <c r="Z173" s="1726">
        <f t="shared" si="28"/>
        <v>1.0925297611513399E-3</v>
      </c>
      <c r="AA173" s="1726">
        <f t="shared" si="28"/>
        <v>1.0945168186013781E-3</v>
      </c>
      <c r="AB173" s="1726">
        <f t="shared" si="28"/>
        <v>1.0957275367356784E-3</v>
      </c>
      <c r="AC173" s="1726">
        <f t="shared" si="28"/>
        <v>1.0952047497793153E-3</v>
      </c>
      <c r="AD173" s="1726">
        <f t="shared" si="28"/>
        <v>1.0938985159221542E-3</v>
      </c>
      <c r="AE173" s="1726">
        <f t="shared" si="28"/>
        <v>1.0913671311600472E-3</v>
      </c>
      <c r="AF173" s="1726">
        <f t="shared" si="28"/>
        <v>1.0871485531076101E-3</v>
      </c>
      <c r="AG173" s="1726">
        <f t="shared" si="28"/>
        <v>1.0844505475039175E-3</v>
      </c>
      <c r="AH173" s="1726">
        <f t="shared" si="28"/>
        <v>1.0817552011623693E-3</v>
      </c>
      <c r="AI173" s="1726">
        <f t="shared" si="28"/>
        <v>1.0791778464734234E-3</v>
      </c>
      <c r="AJ173" s="1726">
        <f t="shared" si="28"/>
        <v>1.0895250539624641E-3</v>
      </c>
      <c r="AK173" s="1726">
        <f t="shared" si="28"/>
        <v>1.0881502114454137E-3</v>
      </c>
      <c r="AL173" s="1726">
        <f t="shared" si="28"/>
        <v>1.0824823131390042E-3</v>
      </c>
      <c r="AM173" s="1726"/>
    </row>
    <row r="174" spans="1:39" ht="15.75" customHeight="1" x14ac:dyDescent="0.25">
      <c r="A174" s="3"/>
      <c r="B174" s="3"/>
      <c r="C174" s="3"/>
      <c r="D174" s="3"/>
      <c r="E174" s="3"/>
      <c r="F174" s="1726"/>
      <c r="G174" s="1726"/>
      <c r="H174" s="1726"/>
      <c r="I174" s="1726"/>
      <c r="J174" s="1726"/>
      <c r="K174" s="1726"/>
      <c r="L174" s="1726"/>
      <c r="M174" s="1726"/>
      <c r="N174" s="1726"/>
      <c r="O174" s="1726"/>
      <c r="P174" s="1726"/>
      <c r="Q174" s="1726"/>
      <c r="R174" s="1726"/>
      <c r="S174" s="1726"/>
      <c r="T174" s="1726"/>
      <c r="U174" s="1726"/>
      <c r="V174" s="1726"/>
      <c r="W174" s="1726"/>
      <c r="X174" s="1726"/>
      <c r="Y174" s="1726"/>
      <c r="Z174" s="1726"/>
      <c r="AA174" s="1726"/>
      <c r="AB174" s="1726"/>
      <c r="AC174" s="1726"/>
      <c r="AD174" s="1726"/>
      <c r="AE174" s="1726"/>
      <c r="AF174" s="1726"/>
      <c r="AG174" s="1726"/>
      <c r="AH174" s="1726"/>
      <c r="AI174" s="1726"/>
      <c r="AJ174" s="1726"/>
      <c r="AK174" s="1726"/>
      <c r="AL174" s="1726"/>
      <c r="AM174" s="1726"/>
    </row>
    <row r="175" spans="1:39" ht="15.75" customHeight="1" x14ac:dyDescent="0.25">
      <c r="A175" s="3"/>
      <c r="B175" s="3"/>
      <c r="C175" s="3"/>
      <c r="D175" s="3" t="s">
        <v>3</v>
      </c>
      <c r="E175" s="3"/>
      <c r="F175" s="1726">
        <f t="shared" ref="F175:AL175" si="29">F164</f>
        <v>2.6131014791080082E-7</v>
      </c>
      <c r="G175" s="1726">
        <f t="shared" si="29"/>
        <v>4.1898124909234098E-7</v>
      </c>
      <c r="H175" s="1726">
        <f t="shared" si="29"/>
        <v>5.8111866987456702E-7</v>
      </c>
      <c r="I175" s="1726">
        <f t="shared" si="29"/>
        <v>7.4840461171582204E-7</v>
      </c>
      <c r="J175" s="1726">
        <f t="shared" si="29"/>
        <v>9.2201719908830302E-7</v>
      </c>
      <c r="K175" s="1726">
        <f t="shared" si="29"/>
        <v>2.3052706395561522E-6</v>
      </c>
      <c r="L175" s="1726">
        <f t="shared" si="29"/>
        <v>4.4136082214367739E-6</v>
      </c>
      <c r="M175" s="1726">
        <f t="shared" si="29"/>
        <v>6.5946290152229707E-6</v>
      </c>
      <c r="N175" s="1726">
        <f t="shared" si="29"/>
        <v>8.8565132283437395E-6</v>
      </c>
      <c r="O175" s="1726">
        <f t="shared" si="29"/>
        <v>1.1509845363912519E-5</v>
      </c>
      <c r="P175" s="1726">
        <f t="shared" si="29"/>
        <v>1.2569649352965852E-5</v>
      </c>
      <c r="Q175" s="1726">
        <f t="shared" si="29"/>
        <v>1.3247157241468287E-5</v>
      </c>
      <c r="R175" s="1726">
        <f t="shared" si="29"/>
        <v>1.7288683860185458E-5</v>
      </c>
      <c r="S175" s="1726">
        <f t="shared" si="29"/>
        <v>2.1944993352741679E-5</v>
      </c>
      <c r="T175" s="1726">
        <f t="shared" si="29"/>
        <v>2.3330088569784589E-5</v>
      </c>
      <c r="U175" s="1726">
        <f t="shared" si="29"/>
        <v>2.4713909211711638E-5</v>
      </c>
      <c r="V175" s="1726">
        <f t="shared" si="29"/>
        <v>2.6092421796137101E-5</v>
      </c>
      <c r="W175" s="1726">
        <f t="shared" si="29"/>
        <v>2.7471143032289743E-5</v>
      </c>
      <c r="X175" s="1726">
        <f t="shared" si="29"/>
        <v>2.8923391721581608E-5</v>
      </c>
      <c r="Y175" s="1726">
        <f t="shared" si="29"/>
        <v>3.1802293449473981E-5</v>
      </c>
      <c r="Z175" s="1726">
        <f t="shared" si="29"/>
        <v>3.5335146091815057E-5</v>
      </c>
      <c r="AA175" s="1726">
        <f t="shared" si="29"/>
        <v>3.771742776819257E-5</v>
      </c>
      <c r="AB175" s="1726">
        <f t="shared" si="29"/>
        <v>3.956228490669917E-5</v>
      </c>
      <c r="AC175" s="1726">
        <f t="shared" si="29"/>
        <v>4.1703195498338638E-5</v>
      </c>
      <c r="AD175" s="1726">
        <f t="shared" si="29"/>
        <v>4.4100162870311796E-5</v>
      </c>
      <c r="AE175" s="1726">
        <f t="shared" si="29"/>
        <v>4.6478452427122152E-5</v>
      </c>
      <c r="AF175" s="1726">
        <f t="shared" si="29"/>
        <v>4.9640579107816882E-5</v>
      </c>
      <c r="AG175" s="1726">
        <f t="shared" si="29"/>
        <v>5.2781854283047353E-5</v>
      </c>
      <c r="AH175" s="1726">
        <f t="shared" si="29"/>
        <v>5.6556118564366453E-5</v>
      </c>
      <c r="AI175" s="1726">
        <f t="shared" si="29"/>
        <v>6.0255123344093292E-5</v>
      </c>
      <c r="AJ175" s="1726">
        <f t="shared" si="29"/>
        <v>6.4760276546437561E-5</v>
      </c>
      <c r="AK175" s="1726">
        <f t="shared" si="29"/>
        <v>6.8680952135492248E-5</v>
      </c>
      <c r="AL175" s="1726">
        <f t="shared" si="29"/>
        <v>7.2638169923938342E-5</v>
      </c>
      <c r="AM175" s="1726"/>
    </row>
    <row r="176" spans="1:39" ht="15.75" customHeight="1" x14ac:dyDescent="0.25">
      <c r="A176" s="3"/>
      <c r="B176" s="3"/>
      <c r="C176" s="3"/>
      <c r="D176" s="3" t="s">
        <v>1672</v>
      </c>
      <c r="E176" s="3"/>
      <c r="F176" s="1726">
        <f t="shared" ref="F176:AL176" si="30">SUM(F165:F171)</f>
        <v>1.5072570286411947E-2</v>
      </c>
      <c r="G176" s="1726">
        <f t="shared" si="30"/>
        <v>3.1735900244720151E-2</v>
      </c>
      <c r="H176" s="1726">
        <f t="shared" si="30"/>
        <v>8.7055899930387301E-2</v>
      </c>
      <c r="I176" s="1726">
        <f t="shared" si="30"/>
        <v>0.27805662599450703</v>
      </c>
      <c r="J176" s="1726">
        <f t="shared" si="30"/>
        <v>0.67324895791136696</v>
      </c>
      <c r="K176" s="1726">
        <f t="shared" si="30"/>
        <v>1.4568330957539479</v>
      </c>
      <c r="L176" s="1726">
        <f t="shared" si="30"/>
        <v>2.0122920633029118</v>
      </c>
      <c r="M176" s="1726">
        <f t="shared" si="30"/>
        <v>2.553105004891814</v>
      </c>
      <c r="N176" s="1726">
        <f t="shared" si="30"/>
        <v>2.942375390135227</v>
      </c>
      <c r="O176" s="1726">
        <f t="shared" si="30"/>
        <v>3.3359814128001144</v>
      </c>
      <c r="P176" s="1726">
        <f t="shared" si="30"/>
        <v>3.693121388570455</v>
      </c>
      <c r="Q176" s="1726">
        <f t="shared" si="30"/>
        <v>4.0419413528122172</v>
      </c>
      <c r="R176" s="1726">
        <f t="shared" si="30"/>
        <v>4.3020061490307704</v>
      </c>
      <c r="S176" s="1726">
        <f t="shared" si="30"/>
        <v>4.5389962090512963</v>
      </c>
      <c r="T176" s="1726">
        <f t="shared" si="30"/>
        <v>4.7260465864993328</v>
      </c>
      <c r="U176" s="1726">
        <f t="shared" si="30"/>
        <v>4.9236628516782863</v>
      </c>
      <c r="V176" s="1726">
        <f t="shared" si="30"/>
        <v>5.2004906801396276</v>
      </c>
      <c r="W176" s="1726">
        <f t="shared" si="30"/>
        <v>5.4998794117383625</v>
      </c>
      <c r="X176" s="1726">
        <f t="shared" si="30"/>
        <v>5.8284009457047929</v>
      </c>
      <c r="Y176" s="1726">
        <f t="shared" si="30"/>
        <v>5.9802144283565895</v>
      </c>
      <c r="Z176" s="1726">
        <f t="shared" si="30"/>
        <v>5.5996610608143138</v>
      </c>
      <c r="AA176" s="1726">
        <f t="shared" si="30"/>
        <v>5.8190167433650348</v>
      </c>
      <c r="AB176" s="1726">
        <f t="shared" si="30"/>
        <v>6.0300733885401296</v>
      </c>
      <c r="AC176" s="1726">
        <f t="shared" si="30"/>
        <v>7.0540102081437981</v>
      </c>
      <c r="AD176" s="1726">
        <f t="shared" si="30"/>
        <v>8.0465075324851618</v>
      </c>
      <c r="AE176" s="1726">
        <f t="shared" si="30"/>
        <v>7.7917776235370271</v>
      </c>
      <c r="AF176" s="1726">
        <f t="shared" si="30"/>
        <v>7.7314220054120035</v>
      </c>
      <c r="AG176" s="1726">
        <f t="shared" si="30"/>
        <v>6.6688853863699542</v>
      </c>
      <c r="AH176" s="1726">
        <f t="shared" si="30"/>
        <v>7.4396119311099342</v>
      </c>
      <c r="AI176" s="1726">
        <f t="shared" si="30"/>
        <v>7.1382981074320835</v>
      </c>
      <c r="AJ176" s="1726">
        <f t="shared" si="30"/>
        <v>8.0152683557065814</v>
      </c>
      <c r="AK176" s="1726">
        <f t="shared" si="30"/>
        <v>8.2514465158514412</v>
      </c>
      <c r="AL176" s="1726">
        <f t="shared" si="30"/>
        <v>8.4770145118286226</v>
      </c>
      <c r="AM176" s="1726"/>
    </row>
    <row r="177" spans="1:39" ht="15.75" customHeight="1" x14ac:dyDescent="0.25">
      <c r="A177" s="3"/>
      <c r="B177" s="3"/>
      <c r="C177" s="3"/>
      <c r="D177" s="3" t="s">
        <v>1683</v>
      </c>
      <c r="E177" s="3"/>
      <c r="F177" s="1726">
        <f t="shared" ref="F177:AL177" si="31">SUM(F172:F173)</f>
        <v>0</v>
      </c>
      <c r="G177" s="1726">
        <f t="shared" si="31"/>
        <v>0</v>
      </c>
      <c r="H177" s="1726">
        <f t="shared" si="31"/>
        <v>0</v>
      </c>
      <c r="I177" s="1726">
        <f t="shared" si="31"/>
        <v>0</v>
      </c>
      <c r="J177" s="1726">
        <f t="shared" si="31"/>
        <v>4.9746131171887315E-6</v>
      </c>
      <c r="K177" s="1726">
        <f t="shared" si="31"/>
        <v>2.2587480887282185E-2</v>
      </c>
      <c r="L177" s="1726">
        <f t="shared" si="31"/>
        <v>5.429880006274973E-2</v>
      </c>
      <c r="M177" s="1726">
        <f t="shared" si="31"/>
        <v>6.3826230928062722E-2</v>
      </c>
      <c r="N177" s="1726">
        <f t="shared" si="31"/>
        <v>6.5103599911376792E-2</v>
      </c>
      <c r="O177" s="1726">
        <f t="shared" si="31"/>
        <v>6.6506405622553819E-2</v>
      </c>
      <c r="P177" s="1726">
        <f t="shared" si="31"/>
        <v>5.2922042450793544E-2</v>
      </c>
      <c r="Q177" s="1726">
        <f t="shared" si="31"/>
        <v>3.88669274526217E-2</v>
      </c>
      <c r="R177" s="1726">
        <f t="shared" si="31"/>
        <v>2.4154171345036005E-2</v>
      </c>
      <c r="S177" s="1726">
        <f t="shared" si="31"/>
        <v>8.546141328166855E-3</v>
      </c>
      <c r="T177" s="1726">
        <f t="shared" si="31"/>
        <v>8.719270521518073E-3</v>
      </c>
      <c r="U177" s="1726">
        <f t="shared" si="31"/>
        <v>7.383096249759539E-3</v>
      </c>
      <c r="V177" s="1726">
        <f t="shared" si="31"/>
        <v>5.9676395558548919E-3</v>
      </c>
      <c r="W177" s="1726">
        <f t="shared" si="31"/>
        <v>4.503947148944816E-3</v>
      </c>
      <c r="X177" s="1726">
        <f t="shared" si="31"/>
        <v>2.9948865340935675E-3</v>
      </c>
      <c r="Y177" s="1726">
        <f t="shared" si="31"/>
        <v>1.4395008961274615E-3</v>
      </c>
      <c r="Z177" s="1726">
        <f t="shared" si="31"/>
        <v>1.4529074161405437E-3</v>
      </c>
      <c r="AA177" s="1726">
        <f t="shared" si="31"/>
        <v>1.4663762025625194E-3</v>
      </c>
      <c r="AB177" s="1726">
        <f t="shared" si="31"/>
        <v>1.4791899423023691E-3</v>
      </c>
      <c r="AC177" s="1726">
        <f t="shared" si="31"/>
        <v>1.4899845460857302E-3</v>
      </c>
      <c r="AD177" s="1726">
        <f t="shared" si="31"/>
        <v>1.5000077222933296E-3</v>
      </c>
      <c r="AE177" s="1726">
        <f t="shared" si="31"/>
        <v>1.508700641246432E-3</v>
      </c>
      <c r="AF177" s="1726">
        <f t="shared" si="31"/>
        <v>1.5153366135863106E-3</v>
      </c>
      <c r="AG177" s="1726">
        <f t="shared" si="31"/>
        <v>1.524401384151765E-3</v>
      </c>
      <c r="AH177" s="1726">
        <f t="shared" si="31"/>
        <v>1.5337550223690254E-3</v>
      </c>
      <c r="AI177" s="1726">
        <f t="shared" si="31"/>
        <v>1.543637330139693E-3</v>
      </c>
      <c r="AJ177" s="1726">
        <f t="shared" si="31"/>
        <v>1.5252870832841315E-3</v>
      </c>
      <c r="AK177" s="1726">
        <f t="shared" si="31"/>
        <v>1.4892785451794865E-3</v>
      </c>
      <c r="AL177" s="1726">
        <f t="shared" si="31"/>
        <v>1.4465675378331788E-3</v>
      </c>
      <c r="AM177" s="1726"/>
    </row>
    <row r="178" spans="1:39" ht="15.75" customHeight="1" x14ac:dyDescent="0.25">
      <c r="A178" s="3"/>
      <c r="B178" s="3"/>
      <c r="C178" s="3"/>
      <c r="D178" s="3"/>
      <c r="E178" s="3"/>
      <c r="F178" s="1726"/>
      <c r="G178" s="1726"/>
      <c r="H178" s="1726"/>
      <c r="I178" s="1726"/>
      <c r="J178" s="1726"/>
      <c r="K178" s="1726"/>
      <c r="L178" s="1726"/>
      <c r="M178" s="1726"/>
      <c r="N178" s="1726"/>
      <c r="O178" s="1726"/>
      <c r="P178" s="1726"/>
      <c r="Q178" s="1726"/>
      <c r="R178" s="1726"/>
      <c r="S178" s="1726"/>
      <c r="T178" s="1726"/>
      <c r="U178" s="1726"/>
      <c r="V178" s="1726"/>
      <c r="W178" s="1726"/>
      <c r="X178" s="1726"/>
      <c r="Y178" s="1726"/>
      <c r="Z178" s="1726"/>
      <c r="AA178" s="1726"/>
      <c r="AB178" s="1726"/>
      <c r="AC178" s="1726"/>
      <c r="AD178" s="1726"/>
      <c r="AE178" s="1726"/>
      <c r="AF178" s="1726"/>
      <c r="AG178" s="1726"/>
      <c r="AH178" s="1726"/>
      <c r="AI178" s="1726"/>
      <c r="AJ178" s="1726"/>
      <c r="AK178" s="1726"/>
      <c r="AL178" s="1726"/>
      <c r="AM178" s="1726"/>
    </row>
    <row r="179" spans="1:39" ht="15.75" customHeight="1" x14ac:dyDescent="0.25">
      <c r="A179" s="3"/>
      <c r="B179" s="3"/>
      <c r="C179" s="3"/>
      <c r="D179" s="3" t="s">
        <v>1739</v>
      </c>
      <c r="E179" s="3"/>
      <c r="F179" s="1726">
        <f t="shared" ref="F179:AL179" si="32">SUM(F175:F177)</f>
        <v>1.5072831596559857E-2</v>
      </c>
      <c r="G179" s="1726">
        <f t="shared" si="32"/>
        <v>3.1736319225969242E-2</v>
      </c>
      <c r="H179" s="1726">
        <f t="shared" si="32"/>
        <v>8.705648104905718E-2</v>
      </c>
      <c r="I179" s="1726">
        <f t="shared" si="32"/>
        <v>0.27805737439911876</v>
      </c>
      <c r="J179" s="1726">
        <f t="shared" si="32"/>
        <v>0.67325485454168321</v>
      </c>
      <c r="K179" s="1726">
        <f t="shared" si="32"/>
        <v>1.4794228819118695</v>
      </c>
      <c r="L179" s="1726">
        <f t="shared" si="32"/>
        <v>2.0665952769738829</v>
      </c>
      <c r="M179" s="1726">
        <f t="shared" si="32"/>
        <v>2.6169378304488919</v>
      </c>
      <c r="N179" s="1726">
        <f t="shared" si="32"/>
        <v>3.0074878465598318</v>
      </c>
      <c r="O179" s="1726">
        <f t="shared" si="32"/>
        <v>3.402499328268032</v>
      </c>
      <c r="P179" s="1726">
        <f t="shared" si="32"/>
        <v>3.7460560006706016</v>
      </c>
      <c r="Q179" s="1726">
        <f t="shared" si="32"/>
        <v>4.0808215274220805</v>
      </c>
      <c r="R179" s="1726">
        <f t="shared" si="32"/>
        <v>4.3261776090596671</v>
      </c>
      <c r="S179" s="1726">
        <f t="shared" si="32"/>
        <v>4.5475642953728164</v>
      </c>
      <c r="T179" s="1726">
        <f t="shared" si="32"/>
        <v>4.7347891871094205</v>
      </c>
      <c r="U179" s="1726">
        <f t="shared" si="32"/>
        <v>4.9310706618372571</v>
      </c>
      <c r="V179" s="1726">
        <f t="shared" si="32"/>
        <v>5.2064844121172786</v>
      </c>
      <c r="W179" s="1726">
        <f t="shared" si="32"/>
        <v>5.5044108300303396</v>
      </c>
      <c r="X179" s="1726">
        <f t="shared" si="32"/>
        <v>5.831424755630608</v>
      </c>
      <c r="Y179" s="1726">
        <f t="shared" si="32"/>
        <v>5.9816857315461665</v>
      </c>
      <c r="Z179" s="1726">
        <f t="shared" si="32"/>
        <v>5.6011493033765465</v>
      </c>
      <c r="AA179" s="1726">
        <f t="shared" si="32"/>
        <v>5.8205208369953656</v>
      </c>
      <c r="AB179" s="1726">
        <f t="shared" si="32"/>
        <v>6.031592140767339</v>
      </c>
      <c r="AC179" s="1726">
        <f t="shared" si="32"/>
        <v>7.0555418958853826</v>
      </c>
      <c r="AD179" s="1726">
        <f t="shared" si="32"/>
        <v>8.0480516403703266</v>
      </c>
      <c r="AE179" s="1726">
        <f t="shared" si="32"/>
        <v>7.7933328026307009</v>
      </c>
      <c r="AF179" s="1726">
        <f t="shared" si="32"/>
        <v>7.7329869826046975</v>
      </c>
      <c r="AG179" s="1726">
        <f t="shared" si="32"/>
        <v>6.6704625696083886</v>
      </c>
      <c r="AH179" s="1726">
        <f t="shared" si="32"/>
        <v>7.4412022422508679</v>
      </c>
      <c r="AI179" s="1726">
        <f t="shared" si="32"/>
        <v>7.1399019998855673</v>
      </c>
      <c r="AJ179" s="1726">
        <f t="shared" si="32"/>
        <v>8.0168584030664114</v>
      </c>
      <c r="AK179" s="1726">
        <f t="shared" si="32"/>
        <v>8.2530044753487566</v>
      </c>
      <c r="AL179" s="1726">
        <f t="shared" si="32"/>
        <v>8.4785337175363793</v>
      </c>
      <c r="AM179" s="1726"/>
    </row>
    <row r="180" spans="1:39"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row>
    <row r="181" spans="1:39" ht="15.75" customHeight="1" x14ac:dyDescent="0.25">
      <c r="A181" s="3"/>
      <c r="B181" s="1727" t="s">
        <v>1740</v>
      </c>
      <c r="C181" s="1724"/>
      <c r="D181" s="1724"/>
      <c r="E181" s="1724"/>
      <c r="F181" s="1724"/>
      <c r="G181" s="1724"/>
      <c r="H181" s="1724"/>
      <c r="I181" s="1724"/>
      <c r="J181" s="1724"/>
      <c r="K181" s="1724"/>
      <c r="L181" s="1724"/>
      <c r="M181" s="1724"/>
      <c r="N181" s="1724"/>
      <c r="O181" s="1724"/>
      <c r="P181" s="1724"/>
      <c r="Q181" s="1724"/>
      <c r="R181" s="1724"/>
      <c r="S181" s="1724"/>
      <c r="T181" s="1724"/>
      <c r="U181" s="1724"/>
      <c r="V181" s="1724"/>
      <c r="W181" s="1724"/>
      <c r="X181" s="1724"/>
      <c r="Y181" s="1724"/>
      <c r="Z181" s="1724"/>
      <c r="AA181" s="1724"/>
      <c r="AB181" s="1724"/>
      <c r="AC181" s="1724"/>
      <c r="AD181" s="1724"/>
      <c r="AE181" s="1724"/>
      <c r="AF181" s="1724"/>
      <c r="AG181" s="1724"/>
      <c r="AH181" s="1724"/>
      <c r="AI181" s="1724"/>
      <c r="AJ181" s="1724"/>
      <c r="AK181" s="1724"/>
      <c r="AL181" s="1724"/>
      <c r="AM181" s="1725"/>
    </row>
    <row r="182" spans="1:39"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row>
    <row r="183" spans="1:39" ht="15.75" customHeight="1" x14ac:dyDescent="0.25">
      <c r="A183" s="3"/>
      <c r="B183" s="1729" t="s">
        <v>2</v>
      </c>
      <c r="C183" s="1730"/>
      <c r="D183" s="1730"/>
      <c r="E183" s="1730"/>
      <c r="F183" s="1730"/>
      <c r="G183" s="1730"/>
      <c r="H183" s="1730"/>
      <c r="I183" s="1730"/>
      <c r="J183" s="1730"/>
      <c r="K183" s="1730"/>
      <c r="L183" s="1730"/>
      <c r="M183" s="1730"/>
      <c r="N183" s="1730"/>
      <c r="O183" s="1730"/>
      <c r="P183" s="1730"/>
      <c r="Q183" s="1730"/>
      <c r="R183" s="1730"/>
      <c r="S183" s="1730"/>
      <c r="T183" s="1730"/>
      <c r="U183" s="1730"/>
      <c r="V183" s="1730"/>
      <c r="W183" s="1730"/>
      <c r="X183" s="1730"/>
      <c r="Y183" s="1730"/>
      <c r="Z183" s="1730"/>
      <c r="AA183" s="1730"/>
      <c r="AB183" s="1730"/>
      <c r="AC183" s="1730"/>
      <c r="AD183" s="1730"/>
      <c r="AE183" s="1730"/>
      <c r="AF183" s="1730"/>
      <c r="AG183" s="1730"/>
      <c r="AH183" s="1730"/>
      <c r="AI183" s="1730"/>
      <c r="AJ183" s="1730"/>
      <c r="AK183" s="1730"/>
      <c r="AL183" s="1730"/>
      <c r="AM183" s="1733"/>
    </row>
    <row r="184" spans="1:39" ht="15.75" customHeight="1" x14ac:dyDescent="0.25">
      <c r="A184" s="3"/>
      <c r="B184" s="1714" t="s">
        <v>1631</v>
      </c>
      <c r="C184" s="3"/>
      <c r="D184" s="1714"/>
      <c r="E184" s="1714"/>
      <c r="F184" s="1714" t="s">
        <v>1635</v>
      </c>
      <c r="G184" s="1714" t="s">
        <v>1636</v>
      </c>
      <c r="H184" s="1714" t="s">
        <v>1637</v>
      </c>
      <c r="I184" s="1714" t="s">
        <v>1638</v>
      </c>
      <c r="J184" s="1714" t="s">
        <v>1639</v>
      </c>
      <c r="K184" s="1714" t="s">
        <v>1640</v>
      </c>
      <c r="L184" s="1714" t="s">
        <v>1641</v>
      </c>
      <c r="M184" s="1714" t="s">
        <v>1642</v>
      </c>
      <c r="N184" s="1714" t="s">
        <v>1643</v>
      </c>
      <c r="O184" s="1714" t="s">
        <v>1644</v>
      </c>
      <c r="P184" s="1714" t="s">
        <v>1645</v>
      </c>
      <c r="Q184" s="1714" t="s">
        <v>1646</v>
      </c>
      <c r="R184" s="1714" t="s">
        <v>1647</v>
      </c>
      <c r="S184" s="1714" t="s">
        <v>1648</v>
      </c>
      <c r="T184" s="1714" t="s">
        <v>1649</v>
      </c>
      <c r="U184" s="1714" t="s">
        <v>1650</v>
      </c>
      <c r="V184" s="1714" t="s">
        <v>1651</v>
      </c>
      <c r="W184" s="1714" t="s">
        <v>1652</v>
      </c>
      <c r="X184" s="1714" t="s">
        <v>1653</v>
      </c>
      <c r="Y184" s="1714" t="s">
        <v>1654</v>
      </c>
      <c r="Z184" s="1714" t="s">
        <v>1655</v>
      </c>
      <c r="AA184" s="1714" t="s">
        <v>1656</v>
      </c>
      <c r="AB184" s="1714" t="s">
        <v>1657</v>
      </c>
      <c r="AC184" s="1714" t="s">
        <v>1658</v>
      </c>
      <c r="AD184" s="1714" t="s">
        <v>1659</v>
      </c>
      <c r="AE184" s="1714" t="s">
        <v>1660</v>
      </c>
      <c r="AF184" s="1714" t="s">
        <v>1661</v>
      </c>
      <c r="AG184" s="1714" t="s">
        <v>1662</v>
      </c>
      <c r="AH184" s="1714" t="s">
        <v>1663</v>
      </c>
      <c r="AI184" s="1714" t="s">
        <v>1664</v>
      </c>
      <c r="AJ184" s="1714" t="s">
        <v>1665</v>
      </c>
      <c r="AK184" s="1714" t="s">
        <v>1666</v>
      </c>
      <c r="AL184" s="1714" t="s">
        <v>1667</v>
      </c>
      <c r="AM184" s="1714"/>
    </row>
    <row r="185" spans="1:39" ht="15.75" customHeight="1" x14ac:dyDescent="0.25">
      <c r="A185" s="3"/>
      <c r="B185" s="3" t="s">
        <v>1668</v>
      </c>
      <c r="C185" s="3"/>
      <c r="D185" s="3"/>
      <c r="E185" s="3"/>
      <c r="F185" s="1726">
        <f t="shared" ref="F185:AL190" si="33">SUMIF($B$16:$B$49,$B185,F$16:F$49)</f>
        <v>0</v>
      </c>
      <c r="G185" s="1726">
        <f t="shared" si="33"/>
        <v>0</v>
      </c>
      <c r="H185" s="1726">
        <f t="shared" si="33"/>
        <v>0</v>
      </c>
      <c r="I185" s="1726">
        <f t="shared" si="33"/>
        <v>0</v>
      </c>
      <c r="J185" s="1726">
        <f t="shared" si="33"/>
        <v>7.2105919715150286E-5</v>
      </c>
      <c r="K185" s="1726">
        <f t="shared" si="33"/>
        <v>6.1285513036061275E-4</v>
      </c>
      <c r="L185" s="1726">
        <f t="shared" si="33"/>
        <v>1.5063543721975246E-3</v>
      </c>
      <c r="M185" s="1726">
        <f t="shared" si="33"/>
        <v>3.0434438681324707E-3</v>
      </c>
      <c r="N185" s="1726">
        <f t="shared" si="33"/>
        <v>5.1295941830848436E-3</v>
      </c>
      <c r="O185" s="1726">
        <f t="shared" si="33"/>
        <v>8.0316148717966118E-3</v>
      </c>
      <c r="P185" s="1726">
        <f t="shared" si="33"/>
        <v>1.0889911130349221E-2</v>
      </c>
      <c r="Q185" s="1726">
        <f t="shared" si="33"/>
        <v>1.3712062262757939E-2</v>
      </c>
      <c r="R185" s="1726">
        <f t="shared" si="33"/>
        <v>1.648562969924406E-2</v>
      </c>
      <c r="S185" s="1726">
        <f t="shared" si="33"/>
        <v>1.8665333965892102E-2</v>
      </c>
      <c r="T185" s="1726">
        <f t="shared" si="33"/>
        <v>2.0647262373855866E-2</v>
      </c>
      <c r="U185" s="1726">
        <f t="shared" si="33"/>
        <v>2.2410144640867428E-2</v>
      </c>
      <c r="V185" s="1726">
        <f t="shared" si="33"/>
        <v>2.4110369744410529E-2</v>
      </c>
      <c r="W185" s="1726">
        <f t="shared" si="33"/>
        <v>2.574518539645845E-2</v>
      </c>
      <c r="X185" s="1726">
        <f t="shared" si="33"/>
        <v>2.7361503739153973E-2</v>
      </c>
      <c r="Y185" s="1726">
        <f t="shared" si="33"/>
        <v>2.843524224429549E-2</v>
      </c>
      <c r="Z185" s="1726">
        <f t="shared" si="33"/>
        <v>3.0012131374129055E-2</v>
      </c>
      <c r="AA185" s="1726">
        <f t="shared" si="33"/>
        <v>3.187452525702545E-2</v>
      </c>
      <c r="AB185" s="1726">
        <f t="shared" si="33"/>
        <v>3.3837802970205E-2</v>
      </c>
      <c r="AC185" s="1726">
        <f t="shared" si="33"/>
        <v>3.5594791565102715E-2</v>
      </c>
      <c r="AD185" s="1726">
        <f t="shared" si="33"/>
        <v>3.7951465300442244E-2</v>
      </c>
      <c r="AE185" s="1726">
        <f t="shared" si="33"/>
        <v>3.9063849322567672E-2</v>
      </c>
      <c r="AF185" s="1726">
        <f t="shared" si="33"/>
        <v>4.1136276684157522E-2</v>
      </c>
      <c r="AG185" s="1726">
        <f t="shared" si="33"/>
        <v>4.1654561205707652E-2</v>
      </c>
      <c r="AH185" s="1726">
        <f t="shared" si="33"/>
        <v>4.371463553219207E-2</v>
      </c>
      <c r="AI185" s="1726">
        <f t="shared" si="33"/>
        <v>4.4439641097130965E-2</v>
      </c>
      <c r="AJ185" s="1726">
        <f t="shared" si="33"/>
        <v>4.6456465734988968E-2</v>
      </c>
      <c r="AK185" s="1726">
        <f t="shared" si="33"/>
        <v>4.7456699884263986E-2</v>
      </c>
      <c r="AL185" s="1726">
        <f t="shared" si="33"/>
        <v>4.8308508674681477E-2</v>
      </c>
      <c r="AM185" s="1726"/>
    </row>
    <row r="186" spans="1:39" ht="15.75" customHeight="1" x14ac:dyDescent="0.25">
      <c r="A186" s="3"/>
      <c r="B186" s="3" t="s">
        <v>1670</v>
      </c>
      <c r="C186" s="3"/>
      <c r="D186" s="3"/>
      <c r="E186" s="3"/>
      <c r="F186" s="1726">
        <f t="shared" si="33"/>
        <v>1.2498464374573599E-4</v>
      </c>
      <c r="G186" s="1726">
        <f t="shared" si="33"/>
        <v>1.9759599133754223E-4</v>
      </c>
      <c r="H186" s="1726">
        <f t="shared" si="33"/>
        <v>2.7646125233332587E-4</v>
      </c>
      <c r="I186" s="1726">
        <f t="shared" si="33"/>
        <v>3.6181180050382433E-4</v>
      </c>
      <c r="J186" s="1726">
        <f t="shared" si="33"/>
        <v>3.897996485494196E-4</v>
      </c>
      <c r="K186" s="1726">
        <f t="shared" si="33"/>
        <v>7.1059808027374252E-4</v>
      </c>
      <c r="L186" s="1726">
        <f t="shared" si="33"/>
        <v>1.6094511220163697E-3</v>
      </c>
      <c r="M186" s="1726">
        <f t="shared" si="33"/>
        <v>2.5545761530009511E-3</v>
      </c>
      <c r="N186" s="1726">
        <f t="shared" si="33"/>
        <v>3.5550703975006622E-3</v>
      </c>
      <c r="O186" s="1726">
        <f t="shared" si="33"/>
        <v>4.6011209287602599E-3</v>
      </c>
      <c r="P186" s="1726">
        <f t="shared" si="33"/>
        <v>4.9468350824592279E-3</v>
      </c>
      <c r="Q186" s="1726">
        <f t="shared" si="33"/>
        <v>5.9345380482300741E-3</v>
      </c>
      <c r="R186" s="1726">
        <f t="shared" si="33"/>
        <v>2.6261543295702759E-2</v>
      </c>
      <c r="S186" s="1726">
        <f t="shared" si="33"/>
        <v>5.0150414900290999E-2</v>
      </c>
      <c r="T186" s="1726">
        <f t="shared" si="33"/>
        <v>5.6296376737982094E-2</v>
      </c>
      <c r="U186" s="1726">
        <f t="shared" si="33"/>
        <v>6.2565220005701597E-2</v>
      </c>
      <c r="V186" s="1726">
        <f t="shared" si="33"/>
        <v>6.8946562255248575E-2</v>
      </c>
      <c r="W186" s="1726">
        <f t="shared" si="33"/>
        <v>7.5423791953472971E-2</v>
      </c>
      <c r="X186" s="1726">
        <f t="shared" si="33"/>
        <v>8.1740815288038171E-2</v>
      </c>
      <c r="Y186" s="1726">
        <f t="shared" si="33"/>
        <v>0.10761159151881834</v>
      </c>
      <c r="Z186" s="1726">
        <f t="shared" si="33"/>
        <v>0.12794764263886921</v>
      </c>
      <c r="AA186" s="1726">
        <f t="shared" si="33"/>
        <v>0.1392134734480811</v>
      </c>
      <c r="AB186" s="1726">
        <f t="shared" si="33"/>
        <v>0.15046983128053817</v>
      </c>
      <c r="AC186" s="1726">
        <f t="shared" si="33"/>
        <v>0.18357247635046137</v>
      </c>
      <c r="AD186" s="1726">
        <f t="shared" si="33"/>
        <v>0.21234430451263558</v>
      </c>
      <c r="AE186" s="1726">
        <f t="shared" si="33"/>
        <v>0.23110579810893955</v>
      </c>
      <c r="AF186" s="1726">
        <f t="shared" si="33"/>
        <v>0.23949444068247275</v>
      </c>
      <c r="AG186" s="1726">
        <f t="shared" si="33"/>
        <v>0.23805963762431312</v>
      </c>
      <c r="AH186" s="1726">
        <f t="shared" si="33"/>
        <v>0.25513604821928398</v>
      </c>
      <c r="AI186" s="1726">
        <f t="shared" si="33"/>
        <v>0.25069838634141794</v>
      </c>
      <c r="AJ186" s="1726">
        <f t="shared" si="33"/>
        <v>0.25757600940917913</v>
      </c>
      <c r="AK186" s="1726">
        <f t="shared" si="33"/>
        <v>0.20133840239177225</v>
      </c>
      <c r="AL186" s="1726">
        <f t="shared" si="33"/>
        <v>0.2175595808811642</v>
      </c>
      <c r="AM186" s="1726"/>
    </row>
    <row r="187" spans="1:39" ht="15.75" customHeight="1" x14ac:dyDescent="0.25">
      <c r="A187" s="3"/>
      <c r="B187" s="3" t="s">
        <v>1675</v>
      </c>
      <c r="C187" s="3"/>
      <c r="D187" s="3"/>
      <c r="E187" s="3"/>
      <c r="F187" s="1726">
        <f t="shared" si="33"/>
        <v>0</v>
      </c>
      <c r="G187" s="1726">
        <f t="shared" si="33"/>
        <v>0</v>
      </c>
      <c r="H187" s="1726">
        <f t="shared" si="33"/>
        <v>0</v>
      </c>
      <c r="I187" s="1726">
        <f t="shared" si="33"/>
        <v>0</v>
      </c>
      <c r="J187" s="1726">
        <f t="shared" si="33"/>
        <v>0</v>
      </c>
      <c r="K187" s="1726">
        <f t="shared" si="33"/>
        <v>0</v>
      </c>
      <c r="L187" s="1726">
        <f t="shared" si="33"/>
        <v>0</v>
      </c>
      <c r="M187" s="1726">
        <f t="shared" si="33"/>
        <v>3.2235782254365608E-4</v>
      </c>
      <c r="N187" s="1726">
        <f t="shared" si="33"/>
        <v>6.5270642478647929E-4</v>
      </c>
      <c r="O187" s="1726">
        <f t="shared" si="33"/>
        <v>9.9047932329365059E-4</v>
      </c>
      <c r="P187" s="1726">
        <f t="shared" si="33"/>
        <v>1.371567092698403E-3</v>
      </c>
      <c r="Q187" s="1726">
        <f t="shared" si="33"/>
        <v>3.1367205233573548E-3</v>
      </c>
      <c r="R187" s="1726">
        <f t="shared" si="33"/>
        <v>4.9577196476018647E-3</v>
      </c>
      <c r="S187" s="1726">
        <f t="shared" si="33"/>
        <v>6.8239834112029498E-3</v>
      </c>
      <c r="T187" s="1726">
        <f t="shared" si="33"/>
        <v>8.7482454746959041E-3</v>
      </c>
      <c r="U187" s="1726">
        <f t="shared" si="33"/>
        <v>1.0728317244315449E-2</v>
      </c>
      <c r="V187" s="1726">
        <f t="shared" si="33"/>
        <v>1.274075218509407E-2</v>
      </c>
      <c r="W187" s="1726">
        <f t="shared" si="33"/>
        <v>1.5873296838508563E-2</v>
      </c>
      <c r="X187" s="1726">
        <f t="shared" si="33"/>
        <v>1.866954517859909E-2</v>
      </c>
      <c r="Y187" s="1726">
        <f t="shared" si="33"/>
        <v>2.1214494125891267E-2</v>
      </c>
      <c r="Z187" s="1726">
        <f t="shared" si="33"/>
        <v>2.1552270045706118E-2</v>
      </c>
      <c r="AA187" s="1726">
        <f t="shared" si="33"/>
        <v>2.4259664127360824E-2</v>
      </c>
      <c r="AB187" s="1726">
        <f t="shared" si="33"/>
        <v>2.4306866839050797E-2</v>
      </c>
      <c r="AC187" s="1726">
        <f t="shared" si="33"/>
        <v>2.8509269544091088E-2</v>
      </c>
      <c r="AD187" s="1726">
        <f t="shared" si="33"/>
        <v>2.9432072155723694E-2</v>
      </c>
      <c r="AE187" s="1726">
        <f t="shared" si="33"/>
        <v>2.5623627137663661E-2</v>
      </c>
      <c r="AF187" s="1726">
        <f t="shared" si="33"/>
        <v>3.0328428800894203E-2</v>
      </c>
      <c r="AG187" s="1726">
        <f t="shared" si="33"/>
        <v>3.3174207015971305E-2</v>
      </c>
      <c r="AH187" s="1726">
        <f t="shared" si="33"/>
        <v>4.1168884090298202E-2</v>
      </c>
      <c r="AI187" s="1726">
        <f t="shared" si="33"/>
        <v>4.0876081697963168E-2</v>
      </c>
      <c r="AJ187" s="1726">
        <f t="shared" si="33"/>
        <v>4.4901273365417868E-2</v>
      </c>
      <c r="AK187" s="1726">
        <f t="shared" si="33"/>
        <v>4.5575131534607419E-2</v>
      </c>
      <c r="AL187" s="1726">
        <f t="shared" si="33"/>
        <v>2.7703232964750114E-2</v>
      </c>
      <c r="AM187" s="1726"/>
    </row>
    <row r="188" spans="1:39" ht="15.75" customHeight="1" x14ac:dyDescent="0.25">
      <c r="A188" s="3"/>
      <c r="B188" s="3" t="s">
        <v>1676</v>
      </c>
      <c r="C188" s="3"/>
      <c r="D188" s="3"/>
      <c r="E188" s="3"/>
      <c r="F188" s="1726">
        <f t="shared" si="33"/>
        <v>4.3648724486724348E-3</v>
      </c>
      <c r="G188" s="1726">
        <f t="shared" si="33"/>
        <v>9.5683674503027998E-3</v>
      </c>
      <c r="H188" s="1726">
        <f t="shared" si="33"/>
        <v>9.5453743608877092E-3</v>
      </c>
      <c r="I188" s="1726">
        <f t="shared" si="33"/>
        <v>9.5139138736681089E-3</v>
      </c>
      <c r="J188" s="1726">
        <f t="shared" si="33"/>
        <v>2.2336436916164441E-2</v>
      </c>
      <c r="K188" s="1726">
        <f t="shared" si="33"/>
        <v>0.14249635803079547</v>
      </c>
      <c r="L188" s="1726">
        <f t="shared" si="33"/>
        <v>0.16428444804518955</v>
      </c>
      <c r="M188" s="1726">
        <f t="shared" si="33"/>
        <v>0.18357195880718782</v>
      </c>
      <c r="N188" s="1726">
        <f t="shared" si="33"/>
        <v>0.19409531908322991</v>
      </c>
      <c r="O188" s="1726">
        <f t="shared" si="33"/>
        <v>0.20002539765614638</v>
      </c>
      <c r="P188" s="1726">
        <f t="shared" si="33"/>
        <v>0.20302055561944649</v>
      </c>
      <c r="Q188" s="1726">
        <f t="shared" si="33"/>
        <v>0.19716429964788568</v>
      </c>
      <c r="R188" s="1726">
        <f t="shared" si="33"/>
        <v>0.18992898294159932</v>
      </c>
      <c r="S188" s="1726">
        <f t="shared" si="33"/>
        <v>0.18244408859058514</v>
      </c>
      <c r="T188" s="1726">
        <f t="shared" si="33"/>
        <v>0.17347940243594798</v>
      </c>
      <c r="U188" s="1726">
        <f t="shared" si="33"/>
        <v>0.16432449450813258</v>
      </c>
      <c r="V188" s="1726">
        <f t="shared" si="33"/>
        <v>0.17484916357473831</v>
      </c>
      <c r="W188" s="1726">
        <f t="shared" si="33"/>
        <v>0.18660684616148177</v>
      </c>
      <c r="X188" s="1726">
        <f t="shared" si="33"/>
        <v>0.19690119142231979</v>
      </c>
      <c r="Y188" s="1726">
        <f t="shared" si="33"/>
        <v>0.21703192252970996</v>
      </c>
      <c r="Z188" s="1726">
        <f t="shared" si="33"/>
        <v>0.21694866571903881</v>
      </c>
      <c r="AA188" s="1726">
        <f t="shared" si="33"/>
        <v>0.2319557928079265</v>
      </c>
      <c r="AB188" s="1726">
        <f t="shared" si="33"/>
        <v>0.24585585413519162</v>
      </c>
      <c r="AC188" s="1726">
        <f t="shared" si="33"/>
        <v>0.30931219857155656</v>
      </c>
      <c r="AD188" s="1726">
        <f t="shared" si="33"/>
        <v>0.35785848599361852</v>
      </c>
      <c r="AE188" s="1726">
        <f t="shared" si="33"/>
        <v>0.35417630598851529</v>
      </c>
      <c r="AF188" s="1726">
        <f t="shared" si="33"/>
        <v>0.31155823757133505</v>
      </c>
      <c r="AG188" s="1726">
        <f t="shared" si="33"/>
        <v>0.2619618412667587</v>
      </c>
      <c r="AH188" s="1726">
        <f t="shared" si="33"/>
        <v>0.25713474347671533</v>
      </c>
      <c r="AI188" s="1726">
        <f t="shared" si="33"/>
        <v>0.25691276844907202</v>
      </c>
      <c r="AJ188" s="1726">
        <f t="shared" si="33"/>
        <v>0.28403062158509718</v>
      </c>
      <c r="AK188" s="1726">
        <f t="shared" si="33"/>
        <v>0.29011712984193122</v>
      </c>
      <c r="AL188" s="1726">
        <f t="shared" si="33"/>
        <v>0.29573110855496204</v>
      </c>
      <c r="AM188" s="1726"/>
    </row>
    <row r="189" spans="1:39" ht="15.75" customHeight="1" x14ac:dyDescent="0.25">
      <c r="A189" s="3"/>
      <c r="B189" s="3" t="s">
        <v>1671</v>
      </c>
      <c r="C189" s="3"/>
      <c r="D189" s="3"/>
      <c r="E189" s="3"/>
      <c r="F189" s="1726">
        <f t="shared" si="33"/>
        <v>2.9619075653216937E-4</v>
      </c>
      <c r="G189" s="1726">
        <f t="shared" si="33"/>
        <v>3.1200429586594226E-4</v>
      </c>
      <c r="H189" s="1726">
        <f t="shared" si="33"/>
        <v>1.7633592270480294E-2</v>
      </c>
      <c r="I189" s="1726">
        <f t="shared" si="33"/>
        <v>7.9574229708700844E-2</v>
      </c>
      <c r="J189" s="1726">
        <f t="shared" si="33"/>
        <v>0.19448125374473932</v>
      </c>
      <c r="K189" s="1726">
        <f t="shared" si="33"/>
        <v>0.31400197478674224</v>
      </c>
      <c r="L189" s="1726">
        <f t="shared" si="33"/>
        <v>0.46015383285188821</v>
      </c>
      <c r="M189" s="1726">
        <f t="shared" si="33"/>
        <v>0.61738084871837051</v>
      </c>
      <c r="N189" s="1726">
        <f t="shared" si="33"/>
        <v>0.7356267450632179</v>
      </c>
      <c r="O189" s="1726">
        <f t="shared" si="33"/>
        <v>0.86217801886727308</v>
      </c>
      <c r="P189" s="1726">
        <f t="shared" si="33"/>
        <v>0.97826330945906137</v>
      </c>
      <c r="Q189" s="1726">
        <f t="shared" si="33"/>
        <v>1.1012392171784913</v>
      </c>
      <c r="R189" s="1726">
        <f t="shared" si="33"/>
        <v>1.1802655703733531</v>
      </c>
      <c r="S189" s="1726">
        <f t="shared" si="33"/>
        <v>1.2497770583538761</v>
      </c>
      <c r="T189" s="1726">
        <f t="shared" si="33"/>
        <v>1.3219874532615901</v>
      </c>
      <c r="U189" s="1726">
        <f t="shared" si="33"/>
        <v>1.4078983065449879</v>
      </c>
      <c r="V189" s="1726">
        <f t="shared" si="33"/>
        <v>1.5025656872957627</v>
      </c>
      <c r="W189" s="1726">
        <f t="shared" si="33"/>
        <v>1.6074718288358312</v>
      </c>
      <c r="X189" s="1726">
        <f t="shared" si="33"/>
        <v>1.7270147715717168</v>
      </c>
      <c r="Y189" s="1726">
        <f t="shared" si="33"/>
        <v>1.7383094998113409</v>
      </c>
      <c r="Z189" s="1726">
        <f t="shared" si="33"/>
        <v>1.6134449309464605</v>
      </c>
      <c r="AA189" s="1726">
        <f t="shared" si="33"/>
        <v>1.7118967392457112</v>
      </c>
      <c r="AB189" s="1726">
        <f t="shared" si="33"/>
        <v>1.8210645635757408</v>
      </c>
      <c r="AC189" s="1726">
        <f t="shared" si="33"/>
        <v>2.0918267720574595</v>
      </c>
      <c r="AD189" s="1726">
        <f t="shared" si="33"/>
        <v>2.4123552464598168</v>
      </c>
      <c r="AE189" s="1726">
        <f t="shared" si="33"/>
        <v>2.3139651753098818</v>
      </c>
      <c r="AF189" s="1726">
        <f t="shared" si="33"/>
        <v>2.3731707047113733</v>
      </c>
      <c r="AG189" s="1726">
        <f t="shared" si="33"/>
        <v>1.9765263214466349</v>
      </c>
      <c r="AH189" s="1726">
        <f t="shared" si="33"/>
        <v>2.2995525386553797</v>
      </c>
      <c r="AI189" s="1726">
        <f t="shared" si="33"/>
        <v>2.1603959533344215</v>
      </c>
      <c r="AJ189" s="1726">
        <f t="shared" si="33"/>
        <v>2.4707507223107195</v>
      </c>
      <c r="AK189" s="1726">
        <f t="shared" si="33"/>
        <v>2.6375174546459652</v>
      </c>
      <c r="AL189" s="1726">
        <f t="shared" si="33"/>
        <v>2.7310221568546873</v>
      </c>
      <c r="AM189" s="1726"/>
    </row>
    <row r="190" spans="1:39" ht="15.75" customHeight="1" x14ac:dyDescent="0.25">
      <c r="A190" s="3"/>
      <c r="B190" s="3" t="s">
        <v>1682</v>
      </c>
      <c r="C190" s="3"/>
      <c r="D190" s="3"/>
      <c r="E190" s="3"/>
      <c r="F190" s="1726">
        <f t="shared" si="33"/>
        <v>0</v>
      </c>
      <c r="G190" s="1726">
        <f t="shared" si="33"/>
        <v>0</v>
      </c>
      <c r="H190" s="1726">
        <f t="shared" si="33"/>
        <v>0</v>
      </c>
      <c r="I190" s="1726">
        <f t="shared" si="33"/>
        <v>0</v>
      </c>
      <c r="J190" s="1726">
        <f t="shared" si="33"/>
        <v>0</v>
      </c>
      <c r="K190" s="1726">
        <f t="shared" si="33"/>
        <v>2.0155536417350836E-2</v>
      </c>
      <c r="L190" s="1726">
        <f t="shared" si="33"/>
        <v>4.4107440217010532E-2</v>
      </c>
      <c r="M190" s="1726">
        <f t="shared" si="33"/>
        <v>4.803083225204071E-2</v>
      </c>
      <c r="N190" s="1726">
        <f t="shared" si="33"/>
        <v>4.8865841943775495E-2</v>
      </c>
      <c r="O190" s="1726">
        <f t="shared" si="33"/>
        <v>4.9749338059828216E-2</v>
      </c>
      <c r="P190" s="1726">
        <f t="shared" si="33"/>
        <v>4.5063302006180542E-2</v>
      </c>
      <c r="Q190" s="1726">
        <f t="shared" si="33"/>
        <v>4.0276417117818243E-2</v>
      </c>
      <c r="R190" s="1726">
        <f t="shared" si="33"/>
        <v>3.5285645908823694E-2</v>
      </c>
      <c r="S190" s="1726">
        <f t="shared" si="33"/>
        <v>3.0003657057189485E-2</v>
      </c>
      <c r="T190" s="1726">
        <f t="shared" si="33"/>
        <v>3.0606134147674113E-2</v>
      </c>
      <c r="U190" s="1726">
        <f t="shared" si="33"/>
        <v>3.0630470293182332E-2</v>
      </c>
      <c r="V190" s="1726">
        <f t="shared" si="33"/>
        <v>3.057286384565408E-2</v>
      </c>
      <c r="W190" s="1726">
        <f t="shared" si="33"/>
        <v>3.0462796370103348E-2</v>
      </c>
      <c r="X190" s="1726">
        <f t="shared" si="33"/>
        <v>3.0371616797719554E-2</v>
      </c>
      <c r="Y190" s="1726">
        <f t="shared" si="33"/>
        <v>3.0362264191720709E-2</v>
      </c>
      <c r="Z190" s="1726">
        <f t="shared" si="33"/>
        <v>3.103227403626806E-2</v>
      </c>
      <c r="AA190" s="1726">
        <f t="shared" si="33"/>
        <v>3.1710293425038373E-2</v>
      </c>
      <c r="AB190" s="1726">
        <f t="shared" si="33"/>
        <v>3.2380473308252521E-2</v>
      </c>
      <c r="AC190" s="1726">
        <f t="shared" si="33"/>
        <v>3.3012349052362798E-2</v>
      </c>
      <c r="AD190" s="1726">
        <f t="shared" si="33"/>
        <v>3.3632343709609977E-2</v>
      </c>
      <c r="AE190" s="1726">
        <f t="shared" si="33"/>
        <v>3.42254472906625E-2</v>
      </c>
      <c r="AF190" s="1726">
        <f t="shared" si="33"/>
        <v>3.4775136345906607E-2</v>
      </c>
      <c r="AG190" s="1726">
        <f t="shared" si="33"/>
        <v>3.5382737684634943E-2</v>
      </c>
      <c r="AH190" s="1726">
        <f t="shared" si="33"/>
        <v>3.6000552816871603E-2</v>
      </c>
      <c r="AI190" s="1726">
        <f t="shared" si="33"/>
        <v>3.6633303426304963E-2</v>
      </c>
      <c r="AJ190" s="1726">
        <f t="shared" si="33"/>
        <v>3.7724242229892728E-2</v>
      </c>
      <c r="AK190" s="1726">
        <f t="shared" si="33"/>
        <v>3.8430274994460813E-2</v>
      </c>
      <c r="AL190" s="1726">
        <f t="shared" si="33"/>
        <v>3.8994606853582803E-2</v>
      </c>
      <c r="AM190" s="1726"/>
    </row>
    <row r="191" spans="1:39" ht="15.75" customHeight="1" x14ac:dyDescent="0.25">
      <c r="A191" s="3"/>
      <c r="B191" s="3"/>
      <c r="C191" s="3"/>
      <c r="D191" s="3"/>
      <c r="E191" s="3"/>
      <c r="F191" s="1726"/>
      <c r="G191" s="1726"/>
      <c r="H191" s="1726"/>
      <c r="I191" s="1726"/>
      <c r="J191" s="1726"/>
      <c r="K191" s="1726"/>
      <c r="L191" s="1726"/>
      <c r="M191" s="1726"/>
      <c r="N191" s="1726"/>
      <c r="O191" s="1726"/>
      <c r="P191" s="1726"/>
      <c r="Q191" s="1726"/>
      <c r="R191" s="1726"/>
      <c r="S191" s="1726"/>
      <c r="T191" s="1726"/>
      <c r="U191" s="1726"/>
      <c r="V191" s="1726"/>
      <c r="W191" s="1726"/>
      <c r="X191" s="1726"/>
      <c r="Y191" s="1726"/>
      <c r="Z191" s="1726"/>
      <c r="AA191" s="1726"/>
      <c r="AB191" s="1726"/>
      <c r="AC191" s="1726"/>
      <c r="AD191" s="1726"/>
      <c r="AE191" s="1726"/>
      <c r="AF191" s="1726"/>
      <c r="AG191" s="1726"/>
      <c r="AH191" s="1726"/>
      <c r="AI191" s="1726"/>
      <c r="AJ191" s="1726"/>
      <c r="AK191" s="1726"/>
      <c r="AL191" s="1726"/>
      <c r="AM191" s="1726"/>
    </row>
    <row r="192" spans="1:39" ht="15.75" customHeight="1" x14ac:dyDescent="0.25">
      <c r="A192" s="3"/>
      <c r="B192" s="3" t="s">
        <v>1739</v>
      </c>
      <c r="C192" s="3"/>
      <c r="D192" s="3"/>
      <c r="E192" s="3"/>
      <c r="F192" s="1726">
        <f t="shared" ref="F192:AL192" si="34">SUM(F185:F190)</f>
        <v>4.7860478489503405E-3</v>
      </c>
      <c r="G192" s="1726">
        <f t="shared" si="34"/>
        <v>1.0077967737506284E-2</v>
      </c>
      <c r="H192" s="1726">
        <f t="shared" si="34"/>
        <v>2.7455427883701332E-2</v>
      </c>
      <c r="I192" s="1726">
        <f t="shared" si="34"/>
        <v>8.9449955382872773E-2</v>
      </c>
      <c r="J192" s="1726">
        <f t="shared" si="34"/>
        <v>0.21727959622916831</v>
      </c>
      <c r="K192" s="1726">
        <f t="shared" si="34"/>
        <v>0.47797732244552288</v>
      </c>
      <c r="L192" s="1726">
        <f t="shared" si="34"/>
        <v>0.67166152660830214</v>
      </c>
      <c r="M192" s="1726">
        <f t="shared" si="34"/>
        <v>0.85490401762127621</v>
      </c>
      <c r="N192" s="1726">
        <f t="shared" si="34"/>
        <v>0.9879252770955953</v>
      </c>
      <c r="O192" s="1726">
        <f t="shared" si="34"/>
        <v>1.1255759697070982</v>
      </c>
      <c r="P192" s="1726">
        <f t="shared" si="34"/>
        <v>1.2435554803901954</v>
      </c>
      <c r="Q192" s="1726">
        <f t="shared" si="34"/>
        <v>1.3614632547785406</v>
      </c>
      <c r="R192" s="1726">
        <f t="shared" si="34"/>
        <v>1.4531850918663249</v>
      </c>
      <c r="S192" s="1726">
        <f t="shared" si="34"/>
        <v>1.5378645362790369</v>
      </c>
      <c r="T192" s="1726">
        <f t="shared" si="34"/>
        <v>1.6117648744317461</v>
      </c>
      <c r="U192" s="1726">
        <f t="shared" si="34"/>
        <v>1.6985569532371874</v>
      </c>
      <c r="V192" s="1726">
        <f t="shared" si="34"/>
        <v>1.8137853989009083</v>
      </c>
      <c r="W192" s="1726">
        <f t="shared" si="34"/>
        <v>1.9415837455558564</v>
      </c>
      <c r="X192" s="1726">
        <f t="shared" si="34"/>
        <v>2.0820594439975477</v>
      </c>
      <c r="Y192" s="1726">
        <f t="shared" si="34"/>
        <v>2.1429650144217764</v>
      </c>
      <c r="Z192" s="1726">
        <f t="shared" si="34"/>
        <v>2.0409379147604718</v>
      </c>
      <c r="AA192" s="1726">
        <f t="shared" si="34"/>
        <v>2.1709104883111436</v>
      </c>
      <c r="AB192" s="1726">
        <f t="shared" si="34"/>
        <v>2.307915392108979</v>
      </c>
      <c r="AC192" s="1726">
        <f t="shared" si="34"/>
        <v>2.6818278571410339</v>
      </c>
      <c r="AD192" s="1726">
        <f t="shared" si="34"/>
        <v>3.0835739181318469</v>
      </c>
      <c r="AE192" s="1726">
        <f t="shared" si="34"/>
        <v>2.9981602031582302</v>
      </c>
      <c r="AF192" s="1726">
        <f t="shared" si="34"/>
        <v>3.0304632247961396</v>
      </c>
      <c r="AG192" s="1726">
        <f t="shared" si="34"/>
        <v>2.5867593062440206</v>
      </c>
      <c r="AH192" s="1726">
        <f t="shared" si="34"/>
        <v>2.9327074027907405</v>
      </c>
      <c r="AI192" s="1726">
        <f t="shared" si="34"/>
        <v>2.7899561343463106</v>
      </c>
      <c r="AJ192" s="1726">
        <f t="shared" si="34"/>
        <v>3.1414393346352956</v>
      </c>
      <c r="AK192" s="1726">
        <f t="shared" si="34"/>
        <v>3.2604350932930011</v>
      </c>
      <c r="AL192" s="1726">
        <f t="shared" si="34"/>
        <v>3.3593191947838279</v>
      </c>
      <c r="AM192" s="1726"/>
    </row>
    <row r="193" spans="1:39"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row>
    <row r="194" spans="1:39" ht="15.75" customHeight="1" x14ac:dyDescent="0.25">
      <c r="A194" s="3"/>
      <c r="B194" s="1729" t="s">
        <v>1741</v>
      </c>
      <c r="C194" s="1730"/>
      <c r="D194" s="1730"/>
      <c r="E194" s="1730"/>
      <c r="F194" s="1730"/>
      <c r="G194" s="1730"/>
      <c r="H194" s="1730"/>
      <c r="I194" s="1730"/>
      <c r="J194" s="1730"/>
      <c r="K194" s="1730"/>
      <c r="L194" s="1730"/>
      <c r="M194" s="1730"/>
      <c r="N194" s="1730"/>
      <c r="O194" s="1730"/>
      <c r="P194" s="1730"/>
      <c r="Q194" s="1730"/>
      <c r="R194" s="1730"/>
      <c r="S194" s="1730"/>
      <c r="T194" s="1730"/>
      <c r="U194" s="1730"/>
      <c r="V194" s="1730"/>
      <c r="W194" s="1730"/>
      <c r="X194" s="1730"/>
      <c r="Y194" s="1730"/>
      <c r="Z194" s="1730"/>
      <c r="AA194" s="1730"/>
      <c r="AB194" s="1730"/>
      <c r="AC194" s="1730"/>
      <c r="AD194" s="1730"/>
      <c r="AE194" s="1730"/>
      <c r="AF194" s="1730"/>
      <c r="AG194" s="1730"/>
      <c r="AH194" s="1730"/>
      <c r="AI194" s="1730"/>
      <c r="AJ194" s="1730"/>
      <c r="AK194" s="1730"/>
      <c r="AL194" s="1730"/>
      <c r="AM194" s="1733"/>
    </row>
    <row r="195" spans="1:39" ht="15.75" customHeight="1" x14ac:dyDescent="0.25">
      <c r="A195" s="3"/>
      <c r="B195" s="1714" t="s">
        <v>1631</v>
      </c>
      <c r="C195" s="3"/>
      <c r="D195" s="1714"/>
      <c r="E195" s="1714"/>
      <c r="F195" s="1714" t="s">
        <v>1635</v>
      </c>
      <c r="G195" s="1714" t="s">
        <v>1636</v>
      </c>
      <c r="H195" s="1714" t="s">
        <v>1637</v>
      </c>
      <c r="I195" s="1714" t="s">
        <v>1638</v>
      </c>
      <c r="J195" s="1714" t="s">
        <v>1639</v>
      </c>
      <c r="K195" s="1714" t="s">
        <v>1640</v>
      </c>
      <c r="L195" s="1714" t="s">
        <v>1641</v>
      </c>
      <c r="M195" s="1714" t="s">
        <v>1642</v>
      </c>
      <c r="N195" s="1714" t="s">
        <v>1643</v>
      </c>
      <c r="O195" s="1714" t="s">
        <v>1644</v>
      </c>
      <c r="P195" s="1714" t="s">
        <v>1645</v>
      </c>
      <c r="Q195" s="1714" t="s">
        <v>1646</v>
      </c>
      <c r="R195" s="1714" t="s">
        <v>1647</v>
      </c>
      <c r="S195" s="1714" t="s">
        <v>1648</v>
      </c>
      <c r="T195" s="1714" t="s">
        <v>1649</v>
      </c>
      <c r="U195" s="1714" t="s">
        <v>1650</v>
      </c>
      <c r="V195" s="1714" t="s">
        <v>1651</v>
      </c>
      <c r="W195" s="1714" t="s">
        <v>1652</v>
      </c>
      <c r="X195" s="1714" t="s">
        <v>1653</v>
      </c>
      <c r="Y195" s="1714" t="s">
        <v>1654</v>
      </c>
      <c r="Z195" s="1714" t="s">
        <v>1655</v>
      </c>
      <c r="AA195" s="1714" t="s">
        <v>1656</v>
      </c>
      <c r="AB195" s="1714" t="s">
        <v>1657</v>
      </c>
      <c r="AC195" s="1714" t="s">
        <v>1658</v>
      </c>
      <c r="AD195" s="1714" t="s">
        <v>1659</v>
      </c>
      <c r="AE195" s="1714" t="s">
        <v>1660</v>
      </c>
      <c r="AF195" s="1714" t="s">
        <v>1661</v>
      </c>
      <c r="AG195" s="1714" t="s">
        <v>1662</v>
      </c>
      <c r="AH195" s="1714" t="s">
        <v>1663</v>
      </c>
      <c r="AI195" s="1714" t="s">
        <v>1664</v>
      </c>
      <c r="AJ195" s="1714" t="s">
        <v>1665</v>
      </c>
      <c r="AK195" s="1714" t="s">
        <v>1666</v>
      </c>
      <c r="AL195" s="1714" t="s">
        <v>1667</v>
      </c>
      <c r="AM195" s="1714"/>
    </row>
    <row r="196" spans="1:39" ht="15.75" customHeight="1" x14ac:dyDescent="0.25">
      <c r="A196" s="3"/>
      <c r="B196" s="3" t="s">
        <v>1668</v>
      </c>
      <c r="C196" s="3"/>
      <c r="D196" s="3"/>
      <c r="E196" s="3"/>
      <c r="F196" s="1726">
        <f t="shared" ref="F196:AL201" si="35">SUMIF($B$106:$B$139,$B196,F$106:F$139)</f>
        <v>0</v>
      </c>
      <c r="G196" s="1726">
        <f t="shared" si="35"/>
        <v>0</v>
      </c>
      <c r="H196" s="1726">
        <f t="shared" si="35"/>
        <v>0</v>
      </c>
      <c r="I196" s="1726">
        <f t="shared" si="35"/>
        <v>0</v>
      </c>
      <c r="J196" s="1726">
        <f t="shared" si="35"/>
        <v>2.2531959001633438E-4</v>
      </c>
      <c r="K196" s="1726">
        <f t="shared" si="35"/>
        <v>1.8985748548723165E-3</v>
      </c>
      <c r="L196" s="1726">
        <f t="shared" si="35"/>
        <v>4.648655015856513E-3</v>
      </c>
      <c r="M196" s="1726">
        <f t="shared" si="35"/>
        <v>8.9132963952210185E-3</v>
      </c>
      <c r="N196" s="1726">
        <f t="shared" si="35"/>
        <v>1.4382161901083971E-2</v>
      </c>
      <c r="O196" s="1726">
        <f t="shared" si="35"/>
        <v>2.1842060851323321E-2</v>
      </c>
      <c r="P196" s="1726">
        <f t="shared" si="35"/>
        <v>2.9067430910941071E-2</v>
      </c>
      <c r="Q196" s="1726">
        <f t="shared" si="35"/>
        <v>3.6040219336160112E-2</v>
      </c>
      <c r="R196" s="1726">
        <f t="shared" si="35"/>
        <v>4.274983472073967E-2</v>
      </c>
      <c r="S196" s="1726">
        <f t="shared" si="35"/>
        <v>4.8048153484639838E-2</v>
      </c>
      <c r="T196" s="1726">
        <f t="shared" si="35"/>
        <v>5.3146620296594324E-2</v>
      </c>
      <c r="U196" s="1726">
        <f t="shared" si="35"/>
        <v>5.7998595925985705E-2</v>
      </c>
      <c r="V196" s="1726">
        <f t="shared" si="35"/>
        <v>6.2679765150384231E-2</v>
      </c>
      <c r="W196" s="1726">
        <f t="shared" si="35"/>
        <v>6.7164097892557881E-2</v>
      </c>
      <c r="X196" s="1726">
        <f t="shared" si="35"/>
        <v>7.1584721474075949E-2</v>
      </c>
      <c r="Y196" s="1726">
        <f t="shared" si="35"/>
        <v>7.4851019111901534E-2</v>
      </c>
      <c r="Z196" s="1726">
        <f t="shared" si="35"/>
        <v>7.9217293776869729E-2</v>
      </c>
      <c r="AA196" s="1726">
        <f t="shared" si="35"/>
        <v>8.4181097728966911E-2</v>
      </c>
      <c r="AB196" s="1726">
        <f t="shared" si="35"/>
        <v>8.933108208012025E-2</v>
      </c>
      <c r="AC196" s="1726">
        <f t="shared" si="35"/>
        <v>9.3999519696495962E-2</v>
      </c>
      <c r="AD196" s="1726">
        <f t="shared" si="35"/>
        <v>9.9902062900628294E-2</v>
      </c>
      <c r="AE196" s="1726">
        <f t="shared" si="35"/>
        <v>0.10310174756227371</v>
      </c>
      <c r="AF196" s="1726">
        <f t="shared" si="35"/>
        <v>0.10827317461763945</v>
      </c>
      <c r="AG196" s="1726">
        <f t="shared" si="35"/>
        <v>0.11012268685955937</v>
      </c>
      <c r="AH196" s="1726">
        <f t="shared" si="35"/>
        <v>0.1152022054339793</v>
      </c>
      <c r="AI196" s="1726">
        <f t="shared" si="35"/>
        <v>0.11738708022370123</v>
      </c>
      <c r="AJ196" s="1726">
        <f t="shared" si="35"/>
        <v>0.12231829960807922</v>
      </c>
      <c r="AK196" s="1726">
        <f t="shared" si="35"/>
        <v>0.12484972070318319</v>
      </c>
      <c r="AL196" s="1726">
        <f t="shared" si="35"/>
        <v>0.12697370798703797</v>
      </c>
      <c r="AM196" s="1726"/>
    </row>
    <row r="197" spans="1:39" ht="15.75" customHeight="1" x14ac:dyDescent="0.25">
      <c r="A197" s="3"/>
      <c r="B197" s="3" t="s">
        <v>1670</v>
      </c>
      <c r="C197" s="3"/>
      <c r="D197" s="3"/>
      <c r="E197" s="3"/>
      <c r="F197" s="1726">
        <f t="shared" si="35"/>
        <v>3.9327343564504247E-4</v>
      </c>
      <c r="G197" s="1726">
        <f t="shared" si="35"/>
        <v>6.2173781228603241E-4</v>
      </c>
      <c r="H197" s="1726">
        <f t="shared" si="35"/>
        <v>8.6989910902381703E-4</v>
      </c>
      <c r="I197" s="1726">
        <f t="shared" si="35"/>
        <v>1.1384849336587891E-3</v>
      </c>
      <c r="J197" s="1726">
        <f t="shared" si="35"/>
        <v>1.2263031872382178E-3</v>
      </c>
      <c r="K197" s="1726">
        <f t="shared" si="35"/>
        <v>2.2341864636669425E-3</v>
      </c>
      <c r="L197" s="1726">
        <f t="shared" si="35"/>
        <v>5.0777948966257494E-3</v>
      </c>
      <c r="M197" s="1726">
        <f t="shared" si="35"/>
        <v>8.0681376463361421E-3</v>
      </c>
      <c r="N197" s="1726">
        <f t="shared" si="35"/>
        <v>1.1234144989794165E-2</v>
      </c>
      <c r="O197" s="1726">
        <f t="shared" si="35"/>
        <v>1.454384474290716E-2</v>
      </c>
      <c r="P197" s="1726">
        <f t="shared" si="35"/>
        <v>1.5636726823552619E-2</v>
      </c>
      <c r="Q197" s="1726">
        <f t="shared" si="35"/>
        <v>1.8754056972157207E-2</v>
      </c>
      <c r="R197" s="1726">
        <f t="shared" si="35"/>
        <v>8.3039563851275436E-2</v>
      </c>
      <c r="S197" s="1726">
        <f t="shared" si="35"/>
        <v>0.15858412316071308</v>
      </c>
      <c r="T197" s="1726">
        <f t="shared" si="35"/>
        <v>0.17801675641294384</v>
      </c>
      <c r="U197" s="1726">
        <f t="shared" si="35"/>
        <v>0.19783956688751969</v>
      </c>
      <c r="V197" s="1726">
        <f t="shared" si="35"/>
        <v>0.2180178249244426</v>
      </c>
      <c r="W197" s="1726">
        <f t="shared" si="35"/>
        <v>0.23850072584354243</v>
      </c>
      <c r="X197" s="1726">
        <f t="shared" si="35"/>
        <v>0.25847717193282527</v>
      </c>
      <c r="Y197" s="1726">
        <f t="shared" si="35"/>
        <v>0.34069588541130308</v>
      </c>
      <c r="Z197" s="1726">
        <f t="shared" si="35"/>
        <v>0.40526188127954538</v>
      </c>
      <c r="AA197" s="1726">
        <f t="shared" si="35"/>
        <v>0.44093771175946661</v>
      </c>
      <c r="AB197" s="1726">
        <f t="shared" si="35"/>
        <v>0.47659029630339478</v>
      </c>
      <c r="AC197" s="1726">
        <f t="shared" si="35"/>
        <v>0.58181440896059722</v>
      </c>
      <c r="AD197" s="1726">
        <f t="shared" si="35"/>
        <v>0.67323995097359934</v>
      </c>
      <c r="AE197" s="1726">
        <f t="shared" si="35"/>
        <v>0.73237449485083139</v>
      </c>
      <c r="AF197" s="1726">
        <f t="shared" si="35"/>
        <v>0.75866591041651832</v>
      </c>
      <c r="AG197" s="1726">
        <f t="shared" si="35"/>
        <v>0.7536156225895595</v>
      </c>
      <c r="AH197" s="1726">
        <f t="shared" si="35"/>
        <v>0.80786474735060798</v>
      </c>
      <c r="AI197" s="1726">
        <f t="shared" si="35"/>
        <v>0.79377634254903973</v>
      </c>
      <c r="AJ197" s="1726">
        <f t="shared" si="35"/>
        <v>0.81582316036593694</v>
      </c>
      <c r="AK197" s="1726">
        <f t="shared" si="35"/>
        <v>0.63658559968821615</v>
      </c>
      <c r="AL197" s="1726">
        <f t="shared" si="35"/>
        <v>0.68784709642993924</v>
      </c>
      <c r="AM197" s="1726"/>
    </row>
    <row r="198" spans="1:39" ht="15.75" customHeight="1" x14ac:dyDescent="0.25">
      <c r="A198" s="3"/>
      <c r="B198" s="3" t="s">
        <v>1675</v>
      </c>
      <c r="C198" s="3"/>
      <c r="D198" s="3"/>
      <c r="E198" s="3"/>
      <c r="F198" s="1726">
        <f t="shared" si="35"/>
        <v>0</v>
      </c>
      <c r="G198" s="1726">
        <f t="shared" si="35"/>
        <v>0</v>
      </c>
      <c r="H198" s="1726">
        <f t="shared" si="35"/>
        <v>0</v>
      </c>
      <c r="I198" s="1726">
        <f t="shared" si="35"/>
        <v>0</v>
      </c>
      <c r="J198" s="1726">
        <f t="shared" si="35"/>
        <v>0</v>
      </c>
      <c r="K198" s="1726">
        <f t="shared" si="35"/>
        <v>0</v>
      </c>
      <c r="L198" s="1726">
        <f t="shared" si="35"/>
        <v>0</v>
      </c>
      <c r="M198" s="1726">
        <f t="shared" si="35"/>
        <v>1.0265856810236431E-3</v>
      </c>
      <c r="N198" s="1726">
        <f t="shared" si="35"/>
        <v>2.0786189220123263E-3</v>
      </c>
      <c r="O198" s="1726">
        <f t="shared" si="35"/>
        <v>3.1542956911043947E-3</v>
      </c>
      <c r="P198" s="1726">
        <f t="shared" si="35"/>
        <v>4.3679136644395287E-3</v>
      </c>
      <c r="Q198" s="1726">
        <f t="shared" si="35"/>
        <v>9.9892484359226531E-3</v>
      </c>
      <c r="R198" s="1726">
        <f t="shared" si="35"/>
        <v>1.578843026236286E-2</v>
      </c>
      <c r="S198" s="1726">
        <f t="shared" si="35"/>
        <v>2.1731762555677086E-2</v>
      </c>
      <c r="T198" s="1726">
        <f t="shared" si="35"/>
        <v>2.7859797127108493E-2</v>
      </c>
      <c r="U198" s="1726">
        <f t="shared" si="35"/>
        <v>3.4165564147281502E-2</v>
      </c>
      <c r="V198" s="1726">
        <f t="shared" si="35"/>
        <v>4.0574395420222648E-2</v>
      </c>
      <c r="W198" s="1726">
        <f t="shared" si="35"/>
        <v>5.0513422592468347E-2</v>
      </c>
      <c r="X198" s="1726">
        <f t="shared" si="35"/>
        <v>5.9381021566350459E-2</v>
      </c>
      <c r="Y198" s="1726">
        <f t="shared" si="35"/>
        <v>6.7447661133220427E-2</v>
      </c>
      <c r="Z198" s="1726">
        <f t="shared" si="35"/>
        <v>6.8484330641659028E-2</v>
      </c>
      <c r="AA198" s="1726">
        <f t="shared" si="35"/>
        <v>7.706678827728132E-2</v>
      </c>
      <c r="AB198" s="1726">
        <f t="shared" si="35"/>
        <v>7.7176997395955876E-2</v>
      </c>
      <c r="AC198" s="1726">
        <f t="shared" si="35"/>
        <v>9.0519803072835303E-2</v>
      </c>
      <c r="AD198" s="1726">
        <f t="shared" si="35"/>
        <v>9.3456923873118755E-2</v>
      </c>
      <c r="AE198" s="1726">
        <f t="shared" si="35"/>
        <v>8.1345252364232359E-2</v>
      </c>
      <c r="AF198" s="1726">
        <f t="shared" si="35"/>
        <v>9.6271194273896687E-2</v>
      </c>
      <c r="AG198" s="1726">
        <f t="shared" si="35"/>
        <v>0.10527792570724789</v>
      </c>
      <c r="AH198" s="1726">
        <f t="shared" si="35"/>
        <v>0.13068643421240492</v>
      </c>
      <c r="AI198" s="1726">
        <f t="shared" si="35"/>
        <v>0.12974927423624702</v>
      </c>
      <c r="AJ198" s="1726">
        <f t="shared" si="35"/>
        <v>0.14255804693816052</v>
      </c>
      <c r="AK198" s="1726">
        <f t="shared" si="35"/>
        <v>0.14469866335032128</v>
      </c>
      <c r="AL198" s="1726">
        <f t="shared" si="35"/>
        <v>8.7957538737625449E-2</v>
      </c>
      <c r="AM198" s="1726"/>
    </row>
    <row r="199" spans="1:39" ht="15.75" customHeight="1" x14ac:dyDescent="0.25">
      <c r="A199" s="3"/>
      <c r="B199" s="3" t="s">
        <v>1676</v>
      </c>
      <c r="C199" s="3"/>
      <c r="D199" s="3"/>
      <c r="E199" s="3"/>
      <c r="F199" s="1726">
        <f t="shared" si="35"/>
        <v>1.3754024600626417E-2</v>
      </c>
      <c r="G199" s="1726">
        <f t="shared" si="35"/>
        <v>3.0150608716945367E-2</v>
      </c>
      <c r="H199" s="1726">
        <f t="shared" si="35"/>
        <v>3.0078155851213689E-2</v>
      </c>
      <c r="I199" s="1726">
        <f t="shared" si="35"/>
        <v>2.9979021610693629E-2</v>
      </c>
      <c r="J199" s="1726">
        <f t="shared" si="35"/>
        <v>7.0793907646518758E-2</v>
      </c>
      <c r="K199" s="1726">
        <f t="shared" si="35"/>
        <v>0.45344320064544663</v>
      </c>
      <c r="L199" s="1726">
        <f t="shared" si="35"/>
        <v>0.52277830923215485</v>
      </c>
      <c r="M199" s="1726">
        <f t="shared" si="35"/>
        <v>0.58395383793974109</v>
      </c>
      <c r="N199" s="1726">
        <f t="shared" si="35"/>
        <v>0.61710980031894913</v>
      </c>
      <c r="O199" s="1726">
        <f t="shared" si="35"/>
        <v>0.63596794510094878</v>
      </c>
      <c r="P199" s="1726">
        <f t="shared" si="35"/>
        <v>0.64549443701904807</v>
      </c>
      <c r="Q199" s="1726">
        <f t="shared" si="35"/>
        <v>0.62675495060457076</v>
      </c>
      <c r="R199" s="1726">
        <f t="shared" si="35"/>
        <v>0.60362369997230636</v>
      </c>
      <c r="S199" s="1726">
        <f t="shared" si="35"/>
        <v>0.57969125442886604</v>
      </c>
      <c r="T199" s="1726">
        <f t="shared" si="35"/>
        <v>0.55105020234334046</v>
      </c>
      <c r="U199" s="1726">
        <f t="shared" si="35"/>
        <v>0.52179685753000404</v>
      </c>
      <c r="V199" s="1726">
        <f t="shared" si="35"/>
        <v>0.55528263417083401</v>
      </c>
      <c r="W199" s="1726">
        <f t="shared" si="35"/>
        <v>0.59268693103549286</v>
      </c>
      <c r="X199" s="1726">
        <f t="shared" si="35"/>
        <v>0.6254444630913969</v>
      </c>
      <c r="Y199" s="1726">
        <f t="shared" si="35"/>
        <v>0.68942619849565789</v>
      </c>
      <c r="Z199" s="1726">
        <f t="shared" si="35"/>
        <v>0.68902865134470392</v>
      </c>
      <c r="AA199" s="1726">
        <f t="shared" si="35"/>
        <v>0.73669328260570599</v>
      </c>
      <c r="AB199" s="1726">
        <f t="shared" si="35"/>
        <v>0.78083333924184029</v>
      </c>
      <c r="AC199" s="1726">
        <f t="shared" si="35"/>
        <v>0.98279437144076376</v>
      </c>
      <c r="AD199" s="1726">
        <f t="shared" si="35"/>
        <v>1.1372744136819573</v>
      </c>
      <c r="AE199" s="1726">
        <f t="shared" si="35"/>
        <v>1.1254299566868868</v>
      </c>
      <c r="AF199" s="1726">
        <f t="shared" si="35"/>
        <v>0.98966709607764902</v>
      </c>
      <c r="AG199" s="1726">
        <f t="shared" si="35"/>
        <v>0.83167677424756892</v>
      </c>
      <c r="AH199" s="1726">
        <f t="shared" si="35"/>
        <v>0.8162586630382751</v>
      </c>
      <c r="AI199" s="1726">
        <f t="shared" si="35"/>
        <v>0.8155057840497888</v>
      </c>
      <c r="AJ199" s="1726">
        <f t="shared" si="35"/>
        <v>0.90178642565622547</v>
      </c>
      <c r="AK199" s="1726">
        <f t="shared" si="35"/>
        <v>0.92111830538142159</v>
      </c>
      <c r="AL199" s="1726">
        <f t="shared" si="35"/>
        <v>0.93895564498199602</v>
      </c>
      <c r="AM199" s="1726"/>
    </row>
    <row r="200" spans="1:39" ht="15.75" customHeight="1" x14ac:dyDescent="0.25">
      <c r="A200" s="3"/>
      <c r="B200" s="3" t="s">
        <v>1671</v>
      </c>
      <c r="C200" s="3"/>
      <c r="D200" s="3"/>
      <c r="E200" s="3"/>
      <c r="F200" s="1726">
        <f t="shared" si="35"/>
        <v>9.2553356028839866E-4</v>
      </c>
      <c r="G200" s="1726">
        <f t="shared" si="35"/>
        <v>9.6397269673783909E-4</v>
      </c>
      <c r="H200" s="1726">
        <f t="shared" si="35"/>
        <v>5.610842608881967E-2</v>
      </c>
      <c r="I200" s="1726">
        <f t="shared" si="35"/>
        <v>0.24693986785476632</v>
      </c>
      <c r="J200" s="1726">
        <f t="shared" si="35"/>
        <v>0.60100932411790986</v>
      </c>
      <c r="K200" s="1726">
        <f t="shared" si="35"/>
        <v>0.96241589655495507</v>
      </c>
      <c r="L200" s="1726">
        <f t="shared" si="35"/>
        <v>1.4049123266706534</v>
      </c>
      <c r="M200" s="1726">
        <f t="shared" si="35"/>
        <v>1.8751369137426979</v>
      </c>
      <c r="N200" s="1726">
        <f t="shared" si="35"/>
        <v>2.2204128462817683</v>
      </c>
      <c r="O200" s="1726">
        <f t="shared" si="35"/>
        <v>2.5821488279927816</v>
      </c>
      <c r="P200" s="1726">
        <f t="shared" si="35"/>
        <v>2.9189118708682229</v>
      </c>
      <c r="Q200" s="1726">
        <f t="shared" si="35"/>
        <v>3.2692028584734931</v>
      </c>
      <c r="R200" s="1726">
        <f t="shared" si="35"/>
        <v>3.4739200548021576</v>
      </c>
      <c r="S200" s="1726">
        <f t="shared" si="35"/>
        <v>3.6462640497823595</v>
      </c>
      <c r="T200" s="1726">
        <f t="shared" si="35"/>
        <v>3.8295988790399069</v>
      </c>
      <c r="U200" s="1726">
        <f t="shared" si="35"/>
        <v>4.0238314212349691</v>
      </c>
      <c r="V200" s="1726">
        <f t="shared" si="35"/>
        <v>4.2344154806920145</v>
      </c>
      <c r="W200" s="1726">
        <f t="shared" si="35"/>
        <v>4.4601126046855688</v>
      </c>
      <c r="X200" s="1726">
        <f t="shared" si="35"/>
        <v>4.7211175572298947</v>
      </c>
      <c r="Y200" s="1726">
        <f t="shared" si="35"/>
        <v>4.7135913060135177</v>
      </c>
      <c r="Z200" s="1726">
        <f t="shared" si="35"/>
        <v>4.261372236115367</v>
      </c>
      <c r="AA200" s="1726">
        <f t="shared" si="35"/>
        <v>4.3817205589222299</v>
      </c>
      <c r="AB200" s="1726">
        <f t="shared" si="35"/>
        <v>4.5056272434025004</v>
      </c>
      <c r="AC200" s="1726">
        <f t="shared" si="35"/>
        <v>5.2023895248053798</v>
      </c>
      <c r="AD200" s="1726">
        <f t="shared" si="35"/>
        <v>5.9382003736185744</v>
      </c>
      <c r="AE200" s="1726">
        <f t="shared" si="35"/>
        <v>5.6432345241311541</v>
      </c>
      <c r="AF200" s="1726">
        <f t="shared" si="35"/>
        <v>5.6705306707400585</v>
      </c>
      <c r="AG200" s="1726">
        <f t="shared" si="35"/>
        <v>4.7582760285435226</v>
      </c>
      <c r="AH200" s="1726">
        <f t="shared" si="35"/>
        <v>5.4577498809803888</v>
      </c>
      <c r="AI200" s="1726">
        <f t="shared" si="35"/>
        <v>5.1680493652627266</v>
      </c>
      <c r="AJ200" s="1726">
        <f t="shared" si="35"/>
        <v>5.9155006909050591</v>
      </c>
      <c r="AK200" s="1726">
        <f t="shared" si="35"/>
        <v>6.3046556470029351</v>
      </c>
      <c r="AL200" s="1726">
        <f t="shared" si="35"/>
        <v>6.51392494021343</v>
      </c>
      <c r="AM200" s="1726"/>
    </row>
    <row r="201" spans="1:39" ht="15.75" customHeight="1" x14ac:dyDescent="0.25">
      <c r="A201" s="3"/>
      <c r="B201" s="3" t="s">
        <v>1682</v>
      </c>
      <c r="C201" s="3"/>
      <c r="D201" s="3"/>
      <c r="E201" s="3"/>
      <c r="F201" s="1726">
        <f t="shared" si="35"/>
        <v>0</v>
      </c>
      <c r="G201" s="1726">
        <f t="shared" si="35"/>
        <v>0</v>
      </c>
      <c r="H201" s="1726">
        <f t="shared" si="35"/>
        <v>0</v>
      </c>
      <c r="I201" s="1726">
        <f t="shared" si="35"/>
        <v>0</v>
      </c>
      <c r="J201" s="1726">
        <f t="shared" si="35"/>
        <v>0</v>
      </c>
      <c r="K201" s="1726">
        <f t="shared" si="35"/>
        <v>5.9431023392928786E-2</v>
      </c>
      <c r="L201" s="1726">
        <f t="shared" si="35"/>
        <v>0.1291781911585925</v>
      </c>
      <c r="M201" s="1726">
        <f t="shared" si="35"/>
        <v>0.13983905904387151</v>
      </c>
      <c r="N201" s="1726">
        <f t="shared" si="35"/>
        <v>0.14227027414622379</v>
      </c>
      <c r="O201" s="1726">
        <f t="shared" si="35"/>
        <v>0.14484235388896705</v>
      </c>
      <c r="P201" s="1726">
        <f t="shared" si="35"/>
        <v>0.13257762138439705</v>
      </c>
      <c r="Q201" s="1726">
        <f t="shared" si="35"/>
        <v>0.12008019359977594</v>
      </c>
      <c r="R201" s="1726">
        <f t="shared" si="35"/>
        <v>0.10705602545082554</v>
      </c>
      <c r="S201" s="1726">
        <f t="shared" si="35"/>
        <v>9.3244951960560318E-2</v>
      </c>
      <c r="T201" s="1726">
        <f t="shared" si="35"/>
        <v>9.5116931889525705E-2</v>
      </c>
      <c r="U201" s="1726">
        <f t="shared" si="35"/>
        <v>9.5438656111496656E-2</v>
      </c>
      <c r="V201" s="1726">
        <f t="shared" si="35"/>
        <v>9.5514311759381881E-2</v>
      </c>
      <c r="W201" s="1726">
        <f t="shared" si="35"/>
        <v>9.5433047980709437E-2</v>
      </c>
      <c r="X201" s="1726">
        <f t="shared" si="35"/>
        <v>9.5419820336065303E-2</v>
      </c>
      <c r="Y201" s="1726">
        <f t="shared" si="35"/>
        <v>9.5673661380565253E-2</v>
      </c>
      <c r="Z201" s="1726">
        <f t="shared" si="35"/>
        <v>9.7784910218402188E-2</v>
      </c>
      <c r="AA201" s="1726">
        <f t="shared" si="35"/>
        <v>9.9921397701715681E-2</v>
      </c>
      <c r="AB201" s="1726">
        <f t="shared" si="35"/>
        <v>0.10203318234352711</v>
      </c>
      <c r="AC201" s="1726">
        <f t="shared" si="35"/>
        <v>0.10402426790930927</v>
      </c>
      <c r="AD201" s="1726">
        <f t="shared" si="35"/>
        <v>0.1059779153224492</v>
      </c>
      <c r="AE201" s="1726">
        <f t="shared" si="35"/>
        <v>0.10784682703532115</v>
      </c>
      <c r="AF201" s="1726">
        <f t="shared" si="35"/>
        <v>0.10957893647893663</v>
      </c>
      <c r="AG201" s="1726">
        <f t="shared" si="35"/>
        <v>0.11149353166092983</v>
      </c>
      <c r="AH201" s="1726">
        <f t="shared" si="35"/>
        <v>0.11344031123521195</v>
      </c>
      <c r="AI201" s="1726">
        <f t="shared" si="35"/>
        <v>0.11543415356406504</v>
      </c>
      <c r="AJ201" s="1726">
        <f t="shared" si="35"/>
        <v>0.11887177959295113</v>
      </c>
      <c r="AK201" s="1726">
        <f t="shared" si="35"/>
        <v>0.12109653922267896</v>
      </c>
      <c r="AL201" s="1726">
        <f t="shared" si="35"/>
        <v>0.12287478918635014</v>
      </c>
      <c r="AM201" s="1726"/>
    </row>
    <row r="202" spans="1:39" ht="15.75" customHeight="1" x14ac:dyDescent="0.25">
      <c r="A202" s="3"/>
      <c r="B202" s="3"/>
      <c r="C202" s="3"/>
      <c r="D202" s="3"/>
      <c r="E202" s="3"/>
      <c r="F202" s="1726"/>
      <c r="G202" s="1726"/>
      <c r="H202" s="1726"/>
      <c r="I202" s="1726"/>
      <c r="J202" s="1726"/>
      <c r="K202" s="1726"/>
      <c r="L202" s="1726"/>
      <c r="M202" s="1726"/>
      <c r="N202" s="1726"/>
      <c r="O202" s="1726"/>
      <c r="P202" s="1726"/>
      <c r="Q202" s="1726"/>
      <c r="R202" s="1726"/>
      <c r="S202" s="1726"/>
      <c r="T202" s="1726"/>
      <c r="U202" s="1726"/>
      <c r="V202" s="1726"/>
      <c r="W202" s="1726"/>
      <c r="X202" s="1726"/>
      <c r="Y202" s="1726"/>
      <c r="Z202" s="1726"/>
      <c r="AA202" s="1726"/>
      <c r="AB202" s="1726"/>
      <c r="AC202" s="1726"/>
      <c r="AD202" s="1726"/>
      <c r="AE202" s="1726"/>
      <c r="AF202" s="1726"/>
      <c r="AG202" s="1726"/>
      <c r="AH202" s="1726"/>
      <c r="AI202" s="1726"/>
      <c r="AJ202" s="1726"/>
      <c r="AK202" s="1726"/>
      <c r="AL202" s="1726"/>
      <c r="AM202" s="1726"/>
    </row>
    <row r="203" spans="1:39" ht="15.75" customHeight="1" x14ac:dyDescent="0.25">
      <c r="A203" s="3"/>
      <c r="B203" s="3" t="s">
        <v>1739</v>
      </c>
      <c r="C203" s="3"/>
      <c r="D203" s="3"/>
      <c r="E203" s="3"/>
      <c r="F203" s="1726">
        <f t="shared" ref="F203:AL203" si="36">SUM(F196:F201)</f>
        <v>1.5072831596559857E-2</v>
      </c>
      <c r="G203" s="1726">
        <f t="shared" si="36"/>
        <v>3.1736319225969235E-2</v>
      </c>
      <c r="H203" s="1726">
        <f t="shared" si="36"/>
        <v>8.705648104905718E-2</v>
      </c>
      <c r="I203" s="1726">
        <f t="shared" si="36"/>
        <v>0.27805737439911876</v>
      </c>
      <c r="J203" s="1726">
        <f t="shared" si="36"/>
        <v>0.67325485454168321</v>
      </c>
      <c r="K203" s="1726">
        <f t="shared" si="36"/>
        <v>1.4794228819118695</v>
      </c>
      <c r="L203" s="1726">
        <f t="shared" si="36"/>
        <v>2.0665952769738829</v>
      </c>
      <c r="M203" s="1726">
        <f t="shared" si="36"/>
        <v>2.6169378304488911</v>
      </c>
      <c r="N203" s="1726">
        <f t="shared" si="36"/>
        <v>3.0074878465598318</v>
      </c>
      <c r="O203" s="1726">
        <f t="shared" si="36"/>
        <v>3.4024993282680325</v>
      </c>
      <c r="P203" s="1726">
        <f t="shared" si="36"/>
        <v>3.7460560006706012</v>
      </c>
      <c r="Q203" s="1726">
        <f t="shared" si="36"/>
        <v>4.0808215274220796</v>
      </c>
      <c r="R203" s="1726">
        <f t="shared" si="36"/>
        <v>4.3261776090596671</v>
      </c>
      <c r="S203" s="1726">
        <f t="shared" si="36"/>
        <v>4.5475642953728164</v>
      </c>
      <c r="T203" s="1726">
        <f t="shared" si="36"/>
        <v>4.7347891871094197</v>
      </c>
      <c r="U203" s="1726">
        <f t="shared" si="36"/>
        <v>4.9310706618372562</v>
      </c>
      <c r="V203" s="1726">
        <f t="shared" si="36"/>
        <v>5.2064844121172795</v>
      </c>
      <c r="W203" s="1726">
        <f t="shared" si="36"/>
        <v>5.5044108300303396</v>
      </c>
      <c r="X203" s="1726">
        <f t="shared" si="36"/>
        <v>5.8314247556306089</v>
      </c>
      <c r="Y203" s="1726">
        <f t="shared" si="36"/>
        <v>5.9816857315461656</v>
      </c>
      <c r="Z203" s="1726">
        <f t="shared" si="36"/>
        <v>5.6011493033765474</v>
      </c>
      <c r="AA203" s="1726">
        <f t="shared" si="36"/>
        <v>5.8205208369953656</v>
      </c>
      <c r="AB203" s="1726">
        <f t="shared" si="36"/>
        <v>6.031592140767339</v>
      </c>
      <c r="AC203" s="1726">
        <f t="shared" si="36"/>
        <v>7.0555418958853808</v>
      </c>
      <c r="AD203" s="1726">
        <f t="shared" si="36"/>
        <v>8.0480516403703284</v>
      </c>
      <c r="AE203" s="1726">
        <f t="shared" si="36"/>
        <v>7.7933328026307001</v>
      </c>
      <c r="AF203" s="1726">
        <f t="shared" si="36"/>
        <v>7.7329869826046993</v>
      </c>
      <c r="AG203" s="1726">
        <f t="shared" si="36"/>
        <v>6.6704625696083877</v>
      </c>
      <c r="AH203" s="1726">
        <f t="shared" si="36"/>
        <v>7.4412022422508679</v>
      </c>
      <c r="AI203" s="1726">
        <f t="shared" si="36"/>
        <v>7.1399019998855682</v>
      </c>
      <c r="AJ203" s="1726">
        <f t="shared" si="36"/>
        <v>8.0168584030664114</v>
      </c>
      <c r="AK203" s="1726">
        <f t="shared" si="36"/>
        <v>8.2530044753487566</v>
      </c>
      <c r="AL203" s="1726">
        <f t="shared" si="36"/>
        <v>8.4785337175363775</v>
      </c>
      <c r="AM203" s="1726"/>
    </row>
    <row r="204" spans="1:39"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row>
    <row r="205" spans="1:39"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row>
    <row r="206" spans="1:39"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row>
    <row r="207" spans="1:39"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row>
    <row r="208" spans="1:39"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row>
    <row r="209" spans="1:39"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row>
    <row r="210" spans="1:39"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row>
    <row r="211" spans="1:39"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row>
    <row r="212" spans="1:39"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row>
    <row r="213" spans="1:39"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row>
    <row r="214" spans="1:39"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row>
    <row r="215" spans="1:39"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row>
    <row r="216" spans="1:39"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row>
    <row r="217" spans="1:39"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row>
    <row r="218" spans="1:39"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row>
    <row r="219" spans="1:39"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row>
    <row r="220" spans="1:39"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row>
    <row r="221" spans="1:39"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row>
    <row r="222" spans="1:39"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row>
    <row r="223" spans="1:39"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row>
    <row r="224" spans="1:39"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row>
    <row r="225" spans="1:39"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row>
    <row r="226" spans="1:39"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row>
    <row r="227" spans="1:39"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row>
    <row r="228" spans="1:39"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row>
    <row r="229" spans="1:39"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row>
    <row r="230" spans="1:39"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row>
    <row r="231" spans="1:39"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row>
    <row r="232" spans="1:39"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row>
    <row r="233" spans="1:39"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row>
    <row r="234" spans="1:39"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row>
    <row r="235" spans="1:39"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row>
    <row r="236" spans="1:39"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row>
    <row r="237" spans="1:39"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row>
    <row r="238" spans="1:39"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row>
    <row r="239" spans="1:39"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row>
    <row r="240" spans="1:39"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row>
    <row r="241" spans="1:39"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row>
    <row r="242" spans="1:39"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row>
    <row r="243" spans="1:39"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row>
    <row r="244" spans="1:39"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row>
    <row r="245" spans="1:39"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row>
    <row r="246" spans="1:39"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row>
    <row r="247" spans="1:39"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row>
    <row r="248" spans="1:39"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row>
    <row r="249" spans="1:39"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row>
    <row r="250" spans="1:39"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row>
    <row r="251" spans="1:39"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row>
    <row r="252" spans="1:39"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row>
    <row r="253" spans="1:39"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row>
    <row r="254" spans="1:39"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row>
    <row r="255" spans="1:39"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row>
    <row r="256" spans="1:39"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row>
    <row r="257" spans="1:39"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row>
    <row r="258" spans="1:39"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row>
    <row r="259" spans="1:39"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row>
    <row r="260" spans="1:39"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row>
    <row r="261" spans="1:39"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row>
    <row r="262" spans="1:39"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row>
    <row r="263" spans="1:39"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row>
    <row r="264" spans="1:39"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row>
    <row r="265" spans="1:39"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row>
    <row r="266" spans="1:39"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row>
    <row r="267" spans="1:39"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row>
    <row r="268" spans="1:39"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row>
    <row r="269" spans="1:39"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row>
    <row r="270" spans="1:39"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row>
    <row r="271" spans="1:39"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row>
    <row r="272" spans="1:39"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row>
    <row r="273" spans="1:39"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row>
    <row r="274" spans="1:39"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row>
    <row r="275" spans="1:39"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row>
    <row r="276" spans="1:39"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row>
    <row r="277" spans="1:39"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row>
    <row r="278" spans="1:39"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row>
    <row r="279" spans="1:39"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row>
    <row r="280" spans="1:39"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row>
    <row r="281" spans="1:39"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row>
    <row r="282" spans="1:39"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row>
    <row r="283" spans="1:39"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row>
    <row r="284" spans="1:39"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row>
    <row r="285" spans="1:39"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row>
    <row r="286" spans="1:39"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row>
    <row r="287" spans="1:39"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row>
    <row r="288" spans="1:39"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row>
    <row r="289" spans="1:39"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row>
    <row r="290" spans="1:39"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row>
    <row r="291" spans="1:39"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row>
    <row r="292" spans="1:39"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row>
    <row r="293" spans="1:39"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row>
    <row r="294" spans="1:39"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row>
    <row r="295" spans="1:39"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row>
    <row r="296" spans="1:39"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row>
    <row r="297" spans="1:39"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row>
    <row r="298" spans="1:39"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row>
    <row r="299" spans="1:39"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row>
    <row r="300" spans="1:39"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row>
    <row r="301" spans="1:39"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row>
    <row r="302" spans="1:39"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row>
    <row r="303" spans="1:39"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row>
    <row r="304" spans="1:39"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row>
    <row r="305" spans="1:39"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row>
    <row r="306" spans="1:39"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row>
    <row r="307" spans="1:39"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row>
    <row r="308" spans="1:39"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row>
    <row r="309" spans="1:39"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row>
    <row r="310" spans="1:39"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row>
    <row r="311" spans="1:39"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row>
    <row r="312" spans="1:39"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row>
    <row r="313" spans="1:39"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row>
    <row r="314" spans="1:39"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row>
    <row r="315" spans="1:39"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row>
    <row r="316" spans="1:39"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row>
    <row r="317" spans="1:39"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row>
    <row r="318" spans="1:39"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row>
    <row r="319" spans="1:39"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row>
    <row r="320" spans="1:39"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row>
    <row r="321" spans="1:39"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row>
    <row r="322" spans="1:39"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row>
    <row r="323" spans="1:39"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row>
    <row r="324" spans="1:39"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row>
    <row r="325" spans="1:39"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row>
    <row r="326" spans="1:39"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row>
    <row r="327" spans="1:39"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row>
    <row r="328" spans="1:39"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row>
    <row r="329" spans="1:39"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row>
    <row r="330" spans="1:39"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row>
    <row r="331" spans="1:39"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row>
    <row r="332" spans="1:39"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row>
    <row r="333" spans="1:39"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row>
    <row r="334" spans="1:39"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row>
    <row r="335" spans="1:39"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row>
    <row r="336" spans="1:39"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row>
    <row r="337" spans="1:39"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row>
    <row r="338" spans="1:39"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row>
    <row r="339" spans="1:39"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row>
    <row r="340" spans="1:39"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row>
    <row r="341" spans="1:39"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row>
    <row r="342" spans="1:39"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row>
    <row r="343" spans="1:39"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row>
    <row r="344" spans="1:39"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row>
    <row r="345" spans="1:39"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row>
    <row r="346" spans="1:39"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row>
    <row r="347" spans="1:39"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row>
    <row r="348" spans="1:39"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row>
    <row r="349" spans="1:39"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row>
    <row r="350" spans="1:39"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row>
    <row r="351" spans="1:39"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row>
    <row r="352" spans="1:39"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row>
    <row r="353" spans="1:39"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row>
    <row r="354" spans="1:39"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row>
    <row r="355" spans="1:39"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row>
    <row r="356" spans="1:39"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row>
    <row r="357" spans="1:39"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row>
    <row r="358" spans="1:39"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row>
    <row r="359" spans="1:39"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row>
    <row r="360" spans="1:39"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row>
    <row r="361" spans="1:39"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row>
    <row r="362" spans="1:39"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row>
    <row r="363" spans="1:39"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row>
    <row r="364" spans="1:39"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row>
    <row r="365" spans="1:39"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row>
    <row r="366" spans="1:39"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row>
    <row r="367" spans="1:39"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row>
    <row r="368" spans="1:39"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row>
    <row r="369" spans="1:39"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row>
    <row r="370" spans="1:39"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row>
    <row r="371" spans="1:39"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row>
    <row r="372" spans="1:39"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row>
    <row r="373" spans="1:39"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row>
    <row r="374" spans="1:39"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row>
    <row r="375" spans="1:39"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row>
    <row r="376" spans="1:39"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row>
    <row r="377" spans="1:39"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row>
    <row r="378" spans="1:39"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row>
    <row r="379" spans="1:39"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row>
    <row r="380" spans="1:39"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row>
    <row r="381" spans="1:39"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row>
    <row r="382" spans="1:39"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row>
    <row r="383" spans="1:39"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row>
    <row r="384" spans="1:39"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row>
    <row r="385" spans="1:39"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row>
    <row r="386" spans="1:39"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row>
    <row r="387" spans="1:39"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row>
    <row r="388" spans="1:39"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row>
    <row r="389" spans="1:39"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row>
    <row r="390" spans="1:39"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row>
    <row r="391" spans="1:39"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row>
    <row r="392" spans="1:39"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row>
    <row r="393" spans="1:39"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row>
    <row r="394" spans="1:39"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row>
    <row r="395" spans="1:39"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row>
    <row r="396" spans="1:39"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row>
    <row r="397" spans="1:39"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row>
    <row r="398" spans="1:39"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row>
    <row r="399" spans="1:39"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row>
    <row r="400" spans="1:39"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row>
    <row r="401" spans="1:39"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row>
    <row r="402" spans="1:39"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row>
    <row r="403" spans="1:39"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row>
    <row r="404" spans="1:39"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row>
    <row r="405" spans="1:39"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row>
    <row r="406" spans="1:39"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row>
    <row r="407" spans="1:39"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row>
    <row r="408" spans="1:39"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row>
    <row r="409" spans="1:39"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row>
    <row r="410" spans="1:39"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row>
    <row r="411" spans="1:39"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row>
    <row r="412" spans="1:39"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row>
    <row r="413" spans="1:39"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row>
    <row r="414" spans="1:39"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row>
    <row r="415" spans="1:39"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row>
    <row r="416" spans="1:39"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row>
    <row r="417" spans="1:39"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row>
    <row r="418" spans="1:39"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row>
    <row r="419" spans="1:39"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row>
    <row r="420" spans="1:39"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row>
    <row r="421" spans="1:39"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row>
    <row r="422" spans="1:39"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row>
    <row r="423" spans="1:39"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row>
    <row r="424" spans="1:39"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row>
    <row r="425" spans="1:39"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row>
    <row r="426" spans="1:39"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row>
    <row r="427" spans="1:39"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row>
    <row r="428" spans="1:39"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row>
    <row r="429" spans="1:39"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row>
    <row r="430" spans="1:39"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row>
    <row r="431" spans="1:39"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row>
    <row r="432" spans="1:39"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row>
    <row r="433" spans="1:39"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row>
    <row r="434" spans="1:39"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row>
    <row r="435" spans="1:39"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row>
    <row r="436" spans="1:39"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row>
    <row r="437" spans="1:39"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row>
    <row r="438" spans="1:39"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row>
    <row r="439" spans="1:39"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row>
    <row r="440" spans="1:39"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row>
    <row r="441" spans="1:39"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row>
    <row r="442" spans="1:39"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row>
    <row r="443" spans="1:39"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row>
    <row r="444" spans="1:39"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row>
    <row r="445" spans="1:39"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row>
    <row r="446" spans="1:39"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row>
    <row r="447" spans="1:39"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row>
    <row r="448" spans="1:39"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row>
    <row r="449" spans="1:39"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row>
    <row r="450" spans="1:39"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row>
    <row r="451" spans="1:39"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row>
    <row r="452" spans="1:39"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row>
    <row r="453" spans="1:39"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row>
    <row r="454" spans="1:39"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row>
    <row r="455" spans="1:39"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row>
    <row r="456" spans="1:39"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row>
    <row r="457" spans="1:39"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row>
    <row r="458" spans="1:39"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row>
    <row r="459" spans="1:39"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row>
    <row r="460" spans="1:39"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row>
    <row r="461" spans="1:39"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row>
    <row r="462" spans="1:39"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row>
    <row r="463" spans="1:39"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row>
    <row r="464" spans="1:39"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row>
    <row r="465" spans="1:39"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row>
    <row r="466" spans="1:39"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row>
    <row r="467" spans="1:39"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row>
    <row r="468" spans="1:39"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row>
    <row r="469" spans="1:39"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row>
    <row r="470" spans="1:39"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row>
    <row r="471" spans="1:39"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row>
    <row r="472" spans="1:39"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row>
    <row r="473" spans="1:39"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row>
    <row r="474" spans="1:39"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row>
    <row r="475" spans="1:39"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row>
    <row r="476" spans="1:39"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row>
    <row r="477" spans="1:39"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row>
    <row r="478" spans="1:39"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row>
    <row r="479" spans="1:39"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row>
    <row r="480" spans="1:39"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row>
    <row r="481" spans="1:39"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row>
    <row r="482" spans="1:39"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row>
    <row r="483" spans="1:39"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row>
    <row r="484" spans="1:39"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row>
    <row r="485" spans="1:39"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row>
    <row r="486" spans="1:39"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row>
    <row r="487" spans="1:39"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row>
    <row r="488" spans="1:39"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row>
    <row r="489" spans="1:39"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row>
    <row r="490" spans="1:39"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row>
    <row r="491" spans="1:39"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row>
    <row r="492" spans="1:39"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row>
    <row r="493" spans="1:39"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row>
    <row r="494" spans="1:39"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row>
    <row r="495" spans="1:39"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row>
    <row r="496" spans="1:39"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row>
    <row r="497" spans="1:39"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row>
    <row r="498" spans="1:39"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row>
    <row r="499" spans="1:39"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row>
    <row r="500" spans="1:39"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row>
    <row r="501" spans="1:39"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row>
    <row r="502" spans="1:39"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row>
    <row r="503" spans="1:39"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row>
    <row r="504" spans="1:39"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row>
    <row r="505" spans="1:39"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row>
    <row r="506" spans="1:39"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row>
    <row r="507" spans="1:39"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row>
    <row r="508" spans="1:39"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row>
    <row r="509" spans="1:39"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row>
    <row r="510" spans="1:39"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row>
    <row r="511" spans="1:39"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row>
    <row r="512" spans="1:39"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row>
    <row r="513" spans="1:39"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row>
    <row r="514" spans="1:39"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row>
    <row r="515" spans="1:39"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row>
    <row r="516" spans="1:39"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row>
    <row r="517" spans="1:39"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row>
    <row r="518" spans="1:39"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row>
    <row r="519" spans="1:39"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row>
    <row r="520" spans="1:39"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row>
    <row r="521" spans="1:39"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row>
    <row r="522" spans="1:39"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row>
    <row r="523" spans="1:39"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row>
    <row r="524" spans="1:39"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row>
    <row r="525" spans="1:39"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row>
    <row r="526" spans="1:39"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row>
    <row r="527" spans="1:39"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row>
    <row r="528" spans="1:39"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row>
    <row r="529" spans="1:39"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row>
    <row r="530" spans="1:39"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row>
    <row r="531" spans="1:39"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row>
    <row r="532" spans="1:39"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row>
    <row r="533" spans="1:39"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row>
    <row r="534" spans="1:39"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row>
    <row r="535" spans="1:39"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row>
    <row r="536" spans="1:39"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row>
    <row r="537" spans="1:39"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row>
    <row r="538" spans="1:39"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row>
    <row r="539" spans="1:39"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row>
    <row r="540" spans="1:39"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row>
    <row r="541" spans="1:39"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row>
    <row r="542" spans="1:39"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row>
    <row r="543" spans="1:39"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row>
    <row r="544" spans="1:39"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row>
    <row r="545" spans="1:39"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row>
    <row r="546" spans="1:39"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row>
    <row r="547" spans="1:39"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row>
    <row r="548" spans="1:39"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row>
    <row r="549" spans="1:39"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row>
    <row r="550" spans="1:39"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row>
    <row r="551" spans="1:39"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row>
    <row r="552" spans="1:39"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row>
    <row r="553" spans="1:39"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row>
    <row r="554" spans="1:39"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row>
    <row r="555" spans="1:39"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row>
    <row r="556" spans="1:39"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row>
    <row r="557" spans="1:39"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row>
    <row r="558" spans="1:39"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row>
    <row r="559" spans="1:39"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row>
    <row r="560" spans="1:39"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row>
    <row r="561" spans="1:39"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row>
    <row r="562" spans="1:39"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row>
    <row r="563" spans="1:39"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row>
    <row r="564" spans="1:39"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row>
    <row r="565" spans="1:39"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row>
    <row r="566" spans="1:39"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row>
    <row r="567" spans="1:39"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row>
    <row r="568" spans="1:39"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row>
    <row r="569" spans="1:39"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row>
    <row r="570" spans="1:39"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row>
    <row r="571" spans="1:39"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row>
    <row r="572" spans="1:39"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row>
    <row r="573" spans="1:39"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row>
    <row r="574" spans="1:39"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row>
    <row r="575" spans="1:39"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row>
    <row r="576" spans="1:39"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row>
    <row r="577" spans="1:39"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row>
    <row r="578" spans="1:39"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row>
    <row r="579" spans="1:39"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row>
    <row r="580" spans="1:39"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row>
    <row r="581" spans="1:39"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row>
    <row r="582" spans="1:39"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row>
    <row r="583" spans="1:39"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row>
    <row r="584" spans="1:39"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row>
    <row r="585" spans="1:39"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row>
    <row r="586" spans="1:39"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row>
    <row r="587" spans="1:39"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row>
    <row r="588" spans="1:39"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row>
    <row r="589" spans="1:39"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row>
    <row r="590" spans="1:39"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row>
    <row r="591" spans="1:39"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row>
    <row r="592" spans="1:39"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row>
    <row r="593" spans="1:39"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row>
    <row r="594" spans="1:39"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row>
    <row r="595" spans="1:39"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row>
    <row r="596" spans="1:39"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row>
    <row r="597" spans="1:39"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row>
    <row r="598" spans="1:39"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row>
    <row r="599" spans="1:39"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row>
    <row r="600" spans="1:39"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row>
    <row r="601" spans="1:39"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row>
    <row r="602" spans="1:39"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row>
    <row r="603" spans="1:39"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row>
    <row r="604" spans="1:39"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row>
    <row r="605" spans="1:39"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row>
    <row r="606" spans="1:39"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row>
    <row r="607" spans="1:39"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row>
    <row r="608" spans="1:39"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row>
    <row r="609" spans="1:39"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row>
    <row r="610" spans="1:39"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row>
    <row r="611" spans="1:39"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row>
    <row r="612" spans="1:39"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row>
    <row r="613" spans="1:39"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row>
    <row r="614" spans="1:39"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row>
    <row r="615" spans="1:39"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row>
    <row r="616" spans="1:39"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row>
    <row r="617" spans="1:39"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row>
    <row r="618" spans="1:39"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row>
    <row r="619" spans="1:39"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row>
    <row r="620" spans="1:39"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row>
    <row r="621" spans="1:39"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row>
    <row r="622" spans="1:39"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row>
    <row r="623" spans="1:39"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row>
    <row r="624" spans="1:39"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row>
    <row r="625" spans="1:39"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row>
    <row r="626" spans="1:39"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row>
    <row r="627" spans="1:39"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row>
    <row r="628" spans="1:39"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row>
    <row r="629" spans="1:39"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row>
    <row r="630" spans="1:39"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row>
    <row r="631" spans="1:39"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row>
    <row r="632" spans="1:39"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row>
    <row r="633" spans="1:39"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row>
    <row r="634" spans="1:39"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row>
    <row r="635" spans="1:39"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row>
    <row r="636" spans="1:39"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row>
    <row r="637" spans="1:39"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row>
    <row r="638" spans="1:39"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row>
    <row r="639" spans="1:39"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row>
    <row r="640" spans="1:39"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row>
    <row r="641" spans="1:39"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row>
    <row r="642" spans="1:39"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row>
    <row r="643" spans="1:39"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row>
    <row r="644" spans="1:39"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row>
    <row r="645" spans="1:39"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row>
    <row r="646" spans="1:39"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row>
    <row r="647" spans="1:39"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row>
    <row r="648" spans="1:39"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row>
    <row r="649" spans="1:39"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row>
    <row r="650" spans="1:39"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row>
    <row r="651" spans="1:39"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row>
    <row r="652" spans="1:39"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row>
    <row r="653" spans="1:39"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row>
    <row r="654" spans="1:39"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row>
    <row r="655" spans="1:39"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row>
    <row r="656" spans="1:39"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row>
    <row r="657" spans="1:39"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row>
    <row r="658" spans="1:39"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row>
    <row r="659" spans="1:39"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row>
    <row r="660" spans="1:39"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row>
    <row r="661" spans="1:39"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row>
    <row r="662" spans="1:39"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row>
    <row r="663" spans="1:39"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row>
    <row r="664" spans="1:39"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row>
    <row r="665" spans="1:39"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row>
    <row r="666" spans="1:39"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row>
    <row r="667" spans="1:39"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row>
    <row r="668" spans="1:39"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row>
    <row r="669" spans="1:39"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row>
    <row r="670" spans="1:39"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row>
    <row r="671" spans="1:39"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row>
    <row r="672" spans="1:39"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row>
    <row r="673" spans="1:39"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row>
    <row r="674" spans="1:39"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row>
    <row r="675" spans="1:39"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row>
    <row r="676" spans="1:39"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row>
    <row r="677" spans="1:39"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row>
    <row r="678" spans="1:39"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row>
    <row r="679" spans="1:39"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row>
    <row r="680" spans="1:39"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row>
    <row r="681" spans="1:39"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row>
    <row r="682" spans="1:39"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row>
    <row r="683" spans="1:39"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row>
    <row r="684" spans="1:39"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row>
    <row r="685" spans="1:39"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row>
    <row r="686" spans="1:39"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row>
    <row r="687" spans="1:39"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row>
    <row r="688" spans="1:39"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row>
    <row r="689" spans="1:39"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row>
    <row r="690" spans="1:39"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row>
    <row r="691" spans="1:39"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row>
    <row r="692" spans="1:39"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row>
    <row r="693" spans="1:39"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row>
    <row r="694" spans="1:39"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row>
    <row r="695" spans="1:39"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row>
    <row r="696" spans="1:39"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row>
    <row r="697" spans="1:39"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row>
    <row r="698" spans="1:39"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row>
    <row r="699" spans="1:39"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row>
    <row r="700" spans="1:39"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row>
    <row r="701" spans="1:39"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row>
    <row r="702" spans="1:39"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row>
    <row r="703" spans="1:39"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row>
    <row r="704" spans="1:39"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row>
    <row r="705" spans="1:39"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row>
    <row r="706" spans="1:39"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row>
    <row r="707" spans="1:39"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row>
    <row r="708" spans="1:39"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row>
    <row r="709" spans="1:39"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row>
    <row r="710" spans="1:39"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row>
    <row r="711" spans="1:39"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row>
    <row r="712" spans="1:39"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row>
    <row r="713" spans="1:39"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row>
    <row r="714" spans="1:39"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row>
    <row r="715" spans="1:39"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row>
    <row r="716" spans="1:39"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row>
    <row r="717" spans="1:39"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row>
    <row r="718" spans="1:39"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row>
    <row r="719" spans="1:39"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row>
    <row r="720" spans="1:39"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row>
    <row r="721" spans="1:39"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row>
    <row r="722" spans="1:39"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row>
    <row r="723" spans="1:39"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row>
    <row r="724" spans="1:39"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row>
    <row r="725" spans="1:39"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row>
    <row r="726" spans="1:39"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row>
    <row r="727" spans="1:39"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row>
    <row r="728" spans="1:39"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row>
    <row r="729" spans="1:39"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row>
    <row r="730" spans="1:39"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row>
    <row r="731" spans="1:39"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row>
    <row r="732" spans="1:39"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row>
    <row r="733" spans="1:39"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row>
    <row r="734" spans="1:39"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row>
    <row r="735" spans="1:39"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row>
    <row r="736" spans="1:39"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row>
    <row r="737" spans="1:39"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row>
    <row r="738" spans="1:39"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row>
    <row r="739" spans="1:39"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row>
    <row r="740" spans="1:39"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row>
    <row r="741" spans="1:39"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row>
    <row r="742" spans="1:39"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row>
    <row r="743" spans="1:39"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row>
    <row r="744" spans="1:39"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row>
    <row r="745" spans="1:39"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row>
    <row r="746" spans="1:39"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row>
    <row r="747" spans="1:39"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row>
    <row r="748" spans="1:39"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row>
    <row r="749" spans="1:39"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row>
    <row r="750" spans="1:39"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row>
    <row r="751" spans="1:39"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row>
    <row r="752" spans="1:39"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row>
    <row r="753" spans="1:39"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row>
    <row r="754" spans="1:39"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row>
    <row r="755" spans="1:39"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row>
    <row r="756" spans="1:39"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row>
    <row r="757" spans="1:39"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row>
    <row r="758" spans="1:39"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row>
    <row r="759" spans="1:39"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row>
    <row r="760" spans="1:39"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row>
    <row r="761" spans="1:39"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row>
    <row r="762" spans="1:39"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row>
    <row r="763" spans="1:39"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row>
    <row r="764" spans="1:39"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row>
    <row r="765" spans="1:39"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row>
    <row r="766" spans="1:39"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row>
    <row r="767" spans="1:39"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row>
    <row r="768" spans="1:39"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row>
    <row r="769" spans="1:39"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row>
    <row r="770" spans="1:39"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row>
    <row r="771" spans="1:39"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row>
    <row r="772" spans="1:39"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row>
    <row r="773" spans="1:39"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row>
    <row r="774" spans="1:39"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row>
    <row r="775" spans="1:39"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row>
    <row r="776" spans="1:39"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row>
    <row r="777" spans="1:39"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row>
    <row r="778" spans="1:39"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row>
    <row r="779" spans="1:39"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row>
    <row r="780" spans="1:39"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row>
    <row r="781" spans="1:39"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row>
    <row r="782" spans="1:39"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row>
    <row r="783" spans="1:39"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row>
    <row r="784" spans="1:39"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row>
    <row r="785" spans="1:39"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row>
    <row r="786" spans="1:39"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row>
    <row r="787" spans="1:39"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row>
    <row r="788" spans="1:39"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row>
    <row r="789" spans="1:39"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row>
    <row r="790" spans="1:39"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row>
    <row r="791" spans="1:39"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row>
    <row r="792" spans="1:39"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row>
    <row r="793" spans="1:39"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row>
    <row r="794" spans="1:39"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row>
    <row r="795" spans="1:39"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row>
    <row r="796" spans="1:39"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row>
    <row r="797" spans="1:39"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row>
    <row r="798" spans="1:39"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row>
    <row r="799" spans="1:39"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row>
    <row r="800" spans="1:39"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row>
    <row r="801" spans="1:39"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row>
    <row r="802" spans="1:39"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row>
    <row r="803" spans="1:39"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row>
    <row r="804" spans="1:39"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row>
    <row r="805" spans="1:39"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row>
    <row r="806" spans="1:39"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row>
    <row r="807" spans="1:39"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row>
    <row r="808" spans="1:39"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row>
    <row r="809" spans="1:39"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row>
    <row r="810" spans="1:39"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row>
    <row r="811" spans="1:39"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row>
    <row r="812" spans="1:39"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row>
    <row r="813" spans="1:39"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row>
    <row r="814" spans="1:39"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row>
    <row r="815" spans="1:39"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row>
    <row r="816" spans="1:39"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row>
    <row r="817" spans="1:39"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row>
    <row r="818" spans="1:39"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row>
    <row r="819" spans="1:39"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row>
    <row r="820" spans="1:39"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row>
    <row r="821" spans="1:39"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row>
    <row r="822" spans="1:39"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row>
    <row r="823" spans="1:39"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row>
    <row r="824" spans="1:39"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row>
    <row r="825" spans="1:39"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row>
    <row r="826" spans="1:39"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row>
    <row r="827" spans="1:39"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row>
    <row r="828" spans="1:39"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row>
    <row r="829" spans="1:39"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row>
    <row r="830" spans="1:39"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row>
    <row r="831" spans="1:39"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row>
    <row r="832" spans="1:39"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row>
    <row r="833" spans="1:39"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row>
    <row r="834" spans="1:39"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row>
    <row r="835" spans="1:39"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row>
    <row r="836" spans="1:39"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row>
    <row r="837" spans="1:39"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row>
    <row r="838" spans="1:39"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row>
    <row r="839" spans="1:39"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row>
    <row r="840" spans="1:39"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row>
    <row r="841" spans="1:39"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row>
    <row r="842" spans="1:39"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row>
    <row r="843" spans="1:39"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row>
    <row r="844" spans="1:39"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row>
    <row r="845" spans="1:39"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row>
    <row r="846" spans="1:39"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row>
    <row r="847" spans="1:39"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row>
    <row r="848" spans="1:39"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row>
    <row r="849" spans="1:39"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row>
    <row r="850" spans="1:39"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row>
    <row r="851" spans="1:39"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row>
    <row r="852" spans="1:39"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row>
    <row r="853" spans="1:39"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row>
    <row r="854" spans="1:39"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row>
    <row r="855" spans="1:39"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row>
    <row r="856" spans="1:39"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row>
    <row r="857" spans="1:39"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row>
    <row r="858" spans="1:39"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row>
    <row r="859" spans="1:39"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row>
    <row r="860" spans="1:39"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row>
    <row r="861" spans="1:39"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row>
    <row r="862" spans="1:39"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row>
    <row r="863" spans="1:39"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row>
    <row r="864" spans="1:39"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row>
    <row r="865" spans="1:39"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row>
    <row r="866" spans="1:39"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row>
    <row r="867" spans="1:39"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row>
    <row r="868" spans="1:39"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row>
    <row r="869" spans="1:39"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row>
    <row r="870" spans="1:39"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row>
    <row r="871" spans="1:39"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row>
    <row r="872" spans="1:39"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row>
    <row r="873" spans="1:39"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row>
    <row r="874" spans="1:39"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row>
    <row r="875" spans="1:39"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row>
    <row r="876" spans="1:39"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row>
    <row r="877" spans="1:39"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row>
    <row r="878" spans="1:39"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row>
    <row r="879" spans="1:39"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row>
    <row r="880" spans="1:39"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row>
    <row r="881" spans="1:39"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row>
    <row r="882" spans="1:39"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row>
    <row r="883" spans="1:39"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row>
    <row r="884" spans="1:39"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row>
    <row r="885" spans="1:39"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row>
    <row r="886" spans="1:39"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row>
    <row r="887" spans="1:39"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row>
    <row r="888" spans="1:39"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row>
    <row r="889" spans="1:39"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row>
    <row r="890" spans="1:39"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row>
    <row r="891" spans="1:39"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row>
    <row r="892" spans="1:39"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row>
    <row r="893" spans="1:39"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row>
    <row r="894" spans="1:39"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row>
    <row r="895" spans="1:39"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row>
    <row r="896" spans="1:39"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row>
    <row r="897" spans="1:39"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row>
    <row r="898" spans="1:39"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row>
    <row r="899" spans="1:39"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row>
    <row r="900" spans="1:39"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row>
    <row r="901" spans="1:39"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row>
    <row r="902" spans="1:39"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row>
    <row r="903" spans="1:39"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row>
    <row r="904" spans="1:39"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row>
    <row r="905" spans="1:39"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row>
    <row r="906" spans="1:39"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row>
    <row r="907" spans="1:39"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row>
    <row r="908" spans="1:39"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row>
    <row r="909" spans="1:39"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row>
    <row r="910" spans="1:39"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row>
    <row r="911" spans="1:39"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row>
    <row r="912" spans="1:39"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row>
    <row r="913" spans="1:39"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row>
    <row r="914" spans="1:39"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row>
    <row r="915" spans="1:39"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row>
    <row r="916" spans="1:39"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row>
    <row r="917" spans="1:39"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row>
    <row r="918" spans="1:39"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row>
    <row r="919" spans="1:39"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row>
    <row r="920" spans="1:39"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row>
    <row r="921" spans="1:39"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row>
    <row r="922" spans="1:39"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row>
    <row r="923" spans="1:39"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row>
    <row r="924" spans="1:39"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row>
    <row r="925" spans="1:39"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row>
    <row r="926" spans="1:39"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row>
    <row r="927" spans="1:39"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row>
    <row r="928" spans="1:39"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row>
    <row r="929" spans="1:39"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row>
    <row r="930" spans="1:39"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row>
    <row r="931" spans="1:39"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row>
    <row r="932" spans="1:39"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row>
    <row r="933" spans="1:39"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row>
    <row r="934" spans="1:39"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row>
    <row r="935" spans="1:39"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row>
    <row r="936" spans="1:39"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row>
    <row r="937" spans="1:39"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row>
    <row r="938" spans="1:39"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row>
    <row r="939" spans="1:39"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row>
    <row r="940" spans="1:39"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row>
    <row r="941" spans="1:39"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row>
    <row r="942" spans="1:39"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row>
    <row r="943" spans="1:39"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row>
    <row r="944" spans="1:39"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row>
    <row r="945" spans="1:39"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row>
    <row r="946" spans="1:39"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row>
    <row r="947" spans="1:39"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row>
    <row r="948" spans="1:39"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row>
    <row r="949" spans="1:39"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row>
    <row r="950" spans="1:39"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row>
    <row r="951" spans="1:39"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row>
    <row r="952" spans="1:39"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row>
    <row r="953" spans="1:39"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row>
    <row r="954" spans="1:39"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row>
    <row r="955" spans="1:39"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row>
    <row r="956" spans="1:39"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row>
    <row r="957" spans="1:39"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row>
    <row r="958" spans="1:39"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row>
    <row r="959" spans="1:39"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row>
    <row r="960" spans="1:39"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row>
    <row r="961" spans="1:39"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row>
    <row r="962" spans="1:39"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row>
    <row r="963" spans="1:39"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row>
    <row r="964" spans="1:39"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row>
    <row r="965" spans="1:39"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row>
    <row r="966" spans="1:39"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row>
    <row r="967" spans="1:39"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row>
    <row r="968" spans="1:39"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row>
    <row r="969" spans="1:39"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row>
    <row r="970" spans="1:39"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row>
    <row r="971" spans="1:39"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row>
    <row r="972" spans="1:39"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row>
    <row r="973" spans="1:39"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row>
    <row r="974" spans="1:39"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row>
    <row r="975" spans="1:39"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row>
    <row r="976" spans="1:39"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row>
    <row r="977" spans="1:39"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row>
    <row r="978" spans="1:39"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row>
    <row r="979" spans="1:39"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row>
    <row r="980" spans="1:39"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row>
    <row r="981" spans="1:39"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row>
    <row r="982" spans="1:39"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row>
    <row r="983" spans="1:39"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row>
    <row r="984" spans="1:39"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row>
    <row r="985" spans="1:39"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row>
    <row r="986" spans="1:39"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row>
    <row r="987" spans="1:39"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row>
    <row r="988" spans="1:39"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row>
    <row r="989" spans="1:39"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row>
    <row r="990" spans="1:39"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row>
    <row r="991" spans="1:39"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row>
    <row r="992" spans="1:39"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row>
    <row r="993" spans="1:39"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row>
    <row r="994" spans="1:39"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row>
    <row r="995" spans="1:39"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row>
    <row r="996" spans="1:39"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row>
    <row r="997" spans="1:39"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row>
    <row r="998" spans="1:39"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row>
    <row r="999" spans="1:39"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row>
    <row r="1000" spans="1:39"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row>
  </sheetData>
  <mergeCells count="1">
    <mergeCell ref="B2:H2"/>
  </mergeCell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1000"/>
  <sheetViews>
    <sheetView workbookViewId="0"/>
  </sheetViews>
  <sheetFormatPr defaultColWidth="16.83203125" defaultRowHeight="15" customHeight="1" x14ac:dyDescent="0.2"/>
  <cols>
    <col min="1" max="1" width="8" customWidth="1"/>
    <col min="2" max="2" width="0.1640625" customWidth="1"/>
    <col min="3" max="3" width="14.1640625" customWidth="1"/>
    <col min="4" max="4" width="13.1640625" customWidth="1"/>
    <col min="5" max="5" width="14.6640625" customWidth="1"/>
    <col min="6" max="6" width="12.6640625" customWidth="1"/>
    <col min="7" max="7" width="12.5" customWidth="1"/>
    <col min="8" max="8" width="11.5" customWidth="1"/>
    <col min="9" max="9" width="12" customWidth="1"/>
    <col min="10" max="10" width="12.6640625" customWidth="1"/>
    <col min="11" max="12" width="13.33203125" customWidth="1"/>
    <col min="13" max="13" width="16.1640625" customWidth="1"/>
    <col min="14" max="14" width="20" customWidth="1"/>
  </cols>
  <sheetData>
    <row r="1" spans="1:14" ht="33" customHeight="1" x14ac:dyDescent="0.45">
      <c r="A1" s="11" t="s">
        <v>935</v>
      </c>
      <c r="B1" s="13"/>
      <c r="G1" s="24"/>
      <c r="H1" s="16"/>
    </row>
    <row r="2" spans="1:14" ht="68.25" customHeight="1" x14ac:dyDescent="0.2"/>
    <row r="3" spans="1:14" ht="11.25" customHeight="1" x14ac:dyDescent="0.2"/>
    <row r="4" spans="1:14" ht="12.75" customHeight="1" x14ac:dyDescent="0.2">
      <c r="E4" s="966">
        <v>2008</v>
      </c>
      <c r="J4" s="353">
        <v>2006</v>
      </c>
    </row>
    <row r="5" spans="1:14" ht="12" customHeight="1" x14ac:dyDescent="0.2">
      <c r="E5" s="967"/>
      <c r="J5" s="968"/>
    </row>
    <row r="6" spans="1:14" ht="16.5" customHeight="1" x14ac:dyDescent="0.3">
      <c r="C6" s="292"/>
      <c r="D6" s="969" t="s">
        <v>937</v>
      </c>
      <c r="E6" s="970" t="s">
        <v>791</v>
      </c>
      <c r="F6" s="969" t="s">
        <v>938</v>
      </c>
      <c r="G6" s="969" t="s">
        <v>769</v>
      </c>
      <c r="H6" s="969" t="s">
        <v>939</v>
      </c>
      <c r="I6" s="969" t="s">
        <v>940</v>
      </c>
      <c r="J6" s="971" t="s">
        <v>791</v>
      </c>
      <c r="K6" s="969" t="s">
        <v>941</v>
      </c>
      <c r="L6" s="969" t="s">
        <v>942</v>
      </c>
      <c r="M6" s="972" t="s">
        <v>943</v>
      </c>
    </row>
    <row r="7" spans="1:14" ht="11.25" customHeight="1" x14ac:dyDescent="0.2">
      <c r="C7" s="973"/>
      <c r="D7" s="974"/>
      <c r="E7" s="975" t="s">
        <v>41</v>
      </c>
      <c r="F7" s="974" t="s">
        <v>41</v>
      </c>
      <c r="G7" s="974" t="s">
        <v>944</v>
      </c>
      <c r="H7" s="974" t="s">
        <v>41</v>
      </c>
      <c r="I7" s="974" t="s">
        <v>41</v>
      </c>
      <c r="J7" s="976" t="s">
        <v>41</v>
      </c>
      <c r="K7" s="974" t="s">
        <v>41</v>
      </c>
      <c r="L7" s="977" t="s">
        <v>572</v>
      </c>
      <c r="M7" s="979" t="s">
        <v>946</v>
      </c>
    </row>
    <row r="8" spans="1:14" ht="11.25" customHeight="1" x14ac:dyDescent="0.2">
      <c r="C8" s="49"/>
      <c r="D8" s="24"/>
      <c r="E8" s="967"/>
      <c r="F8" s="24"/>
      <c r="G8" s="24"/>
      <c r="H8" s="24"/>
      <c r="I8" s="24"/>
      <c r="J8" s="968"/>
      <c r="K8" s="24"/>
      <c r="L8" s="24"/>
      <c r="M8" s="86"/>
    </row>
    <row r="9" spans="1:14" ht="12.75" customHeight="1" x14ac:dyDescent="0.2">
      <c r="C9" s="49" t="s">
        <v>947</v>
      </c>
      <c r="D9" s="62" t="s">
        <v>948</v>
      </c>
      <c r="E9" s="980">
        <v>2431393</v>
      </c>
      <c r="F9" s="84">
        <v>609888</v>
      </c>
      <c r="G9" s="827">
        <f>F9/E9</f>
        <v>0.25083892237906419</v>
      </c>
      <c r="H9" s="84">
        <v>3940</v>
      </c>
      <c r="I9" s="24"/>
      <c r="J9" s="981">
        <v>2491713</v>
      </c>
      <c r="K9" s="84">
        <f>G9*J9</f>
        <v>625018.60379790515</v>
      </c>
      <c r="L9" s="84">
        <f>K9*0.9072</f>
        <v>567016.87736545957</v>
      </c>
      <c r="M9" s="744">
        <f>L9/1000000</f>
        <v>0.56701687736545958</v>
      </c>
    </row>
    <row r="10" spans="1:14" ht="11.25" customHeight="1" x14ac:dyDescent="0.2">
      <c r="C10" s="49"/>
      <c r="D10" s="24"/>
      <c r="E10" s="980"/>
      <c r="F10" s="84"/>
      <c r="G10" s="827"/>
      <c r="H10" s="24"/>
      <c r="I10" s="24"/>
      <c r="J10" s="981"/>
      <c r="K10" s="84"/>
      <c r="L10" s="24"/>
      <c r="M10" s="744"/>
    </row>
    <row r="11" spans="1:14" ht="12.75" customHeight="1" x14ac:dyDescent="0.2">
      <c r="C11" s="49" t="s">
        <v>951</v>
      </c>
      <c r="D11" s="62" t="s">
        <v>952</v>
      </c>
      <c r="E11" s="980">
        <v>2493066</v>
      </c>
      <c r="F11" s="84">
        <v>3019471</v>
      </c>
      <c r="G11" s="827">
        <f>F11/E11</f>
        <v>1.211147639091785</v>
      </c>
      <c r="H11" s="24"/>
      <c r="I11" s="24"/>
      <c r="J11" s="981">
        <v>2545136</v>
      </c>
      <c r="K11" s="84">
        <f>G11*J11</f>
        <v>3082535.4575675093</v>
      </c>
      <c r="L11" s="84">
        <f>K11*0.9072</f>
        <v>2796476.1671052445</v>
      </c>
      <c r="M11" s="744">
        <f>L11/1000000</f>
        <v>2.7964761671052445</v>
      </c>
    </row>
    <row r="12" spans="1:14" ht="11.25" customHeight="1" x14ac:dyDescent="0.2">
      <c r="C12" s="49"/>
      <c r="D12" s="24"/>
      <c r="E12" s="980"/>
      <c r="F12" s="84"/>
      <c r="G12" s="827"/>
      <c r="H12" s="24"/>
      <c r="I12" s="24"/>
      <c r="J12" s="981"/>
      <c r="K12" s="84"/>
      <c r="L12" s="24"/>
      <c r="M12" s="744"/>
    </row>
    <row r="13" spans="1:14" ht="12.75" customHeight="1" x14ac:dyDescent="0.2">
      <c r="C13" s="49" t="s">
        <v>954</v>
      </c>
      <c r="D13" s="62" t="s">
        <v>955</v>
      </c>
      <c r="E13" s="980">
        <v>2692020</v>
      </c>
      <c r="F13" s="84">
        <v>246133</v>
      </c>
      <c r="G13" s="827">
        <f>F13/E13</f>
        <v>9.1430598583962977E-2</v>
      </c>
      <c r="H13" s="24"/>
      <c r="I13" s="24"/>
      <c r="J13" s="981">
        <v>2816577</v>
      </c>
      <c r="K13" s="84">
        <f>G13*J13</f>
        <v>257521.32106782269</v>
      </c>
      <c r="L13" s="84">
        <f>K13*0.9072</f>
        <v>233623.34247272875</v>
      </c>
      <c r="M13" s="744">
        <f>L13/1000000</f>
        <v>0.23362334247272876</v>
      </c>
    </row>
    <row r="14" spans="1:14" ht="11.25" customHeight="1" x14ac:dyDescent="0.2">
      <c r="C14" s="49"/>
      <c r="D14" s="24"/>
      <c r="E14" s="24"/>
      <c r="F14" s="24"/>
      <c r="G14" s="24"/>
      <c r="H14" s="24"/>
      <c r="I14" s="24"/>
      <c r="J14" s="24"/>
      <c r="K14" s="24"/>
      <c r="L14" s="24"/>
      <c r="M14" s="744"/>
    </row>
    <row r="15" spans="1:14" ht="13.5" customHeight="1" x14ac:dyDescent="0.2">
      <c r="C15" s="154"/>
      <c r="D15" s="155"/>
      <c r="E15" s="155"/>
      <c r="F15" s="155"/>
      <c r="G15" s="155"/>
      <c r="H15" s="155"/>
      <c r="I15" s="155"/>
      <c r="J15" s="155"/>
      <c r="K15" s="155"/>
      <c r="L15" s="985">
        <f t="shared" ref="L15:M15" si="0">SUM(L9:L14)</f>
        <v>3597116.386943433</v>
      </c>
      <c r="M15" s="986">
        <f t="shared" si="0"/>
        <v>3.5971163869434326</v>
      </c>
      <c r="N15" s="987"/>
    </row>
    <row r="16" spans="1:14" ht="12" customHeight="1" x14ac:dyDescent="0.2"/>
    <row r="17" spans="3:3" ht="12.75" customHeight="1" x14ac:dyDescent="0.2">
      <c r="C17" s="21"/>
    </row>
    <row r="18" spans="3:3" ht="11.25" customHeight="1" x14ac:dyDescent="0.2"/>
    <row r="19" spans="3:3" ht="11.25" customHeight="1" x14ac:dyDescent="0.2"/>
    <row r="20" spans="3:3" ht="11.25" customHeight="1" x14ac:dyDescent="0.2"/>
    <row r="21" spans="3:3" ht="11.25" customHeight="1" x14ac:dyDescent="0.2"/>
    <row r="22" spans="3:3" ht="11.25" customHeight="1" x14ac:dyDescent="0.2"/>
    <row r="23" spans="3:3" ht="11.25" customHeight="1" x14ac:dyDescent="0.2"/>
    <row r="24" spans="3:3" ht="11.25" customHeight="1" x14ac:dyDescent="0.2"/>
    <row r="25" spans="3:3" ht="11.25" customHeight="1" x14ac:dyDescent="0.2"/>
    <row r="26" spans="3:3" ht="11.25" customHeight="1" x14ac:dyDescent="0.2"/>
    <row r="27" spans="3:3" ht="11.25" customHeight="1" x14ac:dyDescent="0.2"/>
    <row r="28" spans="3:3" ht="11.25" customHeight="1" x14ac:dyDescent="0.2"/>
    <row r="29" spans="3:3" ht="11.25" customHeight="1" x14ac:dyDescent="0.2"/>
    <row r="30" spans="3:3" ht="11.25" customHeight="1" x14ac:dyDescent="0.2"/>
    <row r="31" spans="3:3" ht="11.25" customHeight="1" x14ac:dyDescent="0.2"/>
    <row r="32" spans="3:3"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1000"/>
  <sheetViews>
    <sheetView workbookViewId="0"/>
  </sheetViews>
  <sheetFormatPr defaultColWidth="16.83203125" defaultRowHeight="15" customHeight="1" x14ac:dyDescent="0.2"/>
  <cols>
    <col min="1" max="2" width="8" customWidth="1"/>
    <col min="3" max="3" width="26.33203125" customWidth="1"/>
    <col min="4" max="4" width="32.1640625" customWidth="1"/>
    <col min="5" max="5" width="19.5" customWidth="1"/>
    <col min="6" max="6" width="2.33203125" customWidth="1"/>
    <col min="7" max="7" width="18.1640625" customWidth="1"/>
    <col min="8" max="8" width="2.33203125" customWidth="1"/>
    <col min="9" max="9" width="14.5" customWidth="1"/>
    <col min="10" max="10" width="13.33203125" customWidth="1"/>
    <col min="11" max="19" width="8" customWidth="1"/>
  </cols>
  <sheetData>
    <row r="1" spans="1:19" ht="33" customHeight="1" x14ac:dyDescent="0.45">
      <c r="A1" s="11" t="s">
        <v>956</v>
      </c>
      <c r="B1" s="13"/>
      <c r="E1" s="16"/>
      <c r="G1" s="24"/>
      <c r="H1" s="24"/>
    </row>
    <row r="2" spans="1:19" ht="57.75" customHeight="1" x14ac:dyDescent="0.2">
      <c r="B2" s="996"/>
      <c r="C2" s="996"/>
      <c r="D2" s="603"/>
      <c r="E2" s="603"/>
      <c r="F2" s="603"/>
      <c r="G2" s="603"/>
      <c r="H2" s="997"/>
      <c r="I2" s="24"/>
      <c r="J2" s="997"/>
      <c r="K2" s="997"/>
      <c r="L2" s="997"/>
      <c r="M2" s="24"/>
      <c r="N2" s="24"/>
      <c r="O2" s="24"/>
      <c r="P2" s="24"/>
      <c r="Q2" s="24"/>
      <c r="R2" s="24"/>
      <c r="S2" s="24"/>
    </row>
    <row r="3" spans="1:19" ht="13.5" customHeight="1" x14ac:dyDescent="0.2">
      <c r="B3" s="998"/>
      <c r="C3" s="999"/>
      <c r="D3" s="1000" t="s">
        <v>971</v>
      </c>
      <c r="E3" s="1000" t="s">
        <v>354</v>
      </c>
      <c r="F3" s="1000"/>
      <c r="G3" s="1000" t="s">
        <v>972</v>
      </c>
      <c r="H3" s="999"/>
      <c r="I3" s="1000" t="s">
        <v>356</v>
      </c>
      <c r="J3" s="1001" t="s">
        <v>356</v>
      </c>
      <c r="K3" s="24"/>
      <c r="L3" s="24"/>
      <c r="M3" s="24"/>
      <c r="N3" s="24"/>
      <c r="O3" s="24"/>
      <c r="P3" s="24"/>
      <c r="Q3" s="24"/>
      <c r="R3" s="24"/>
      <c r="S3" s="24"/>
    </row>
    <row r="4" spans="1:19" ht="14.25" customHeight="1" x14ac:dyDescent="0.25">
      <c r="B4" s="1002"/>
      <c r="C4" s="1003"/>
      <c r="D4" s="1004" t="s">
        <v>882</v>
      </c>
      <c r="E4" s="1004" t="s">
        <v>973</v>
      </c>
      <c r="F4" s="1004"/>
      <c r="G4" s="1004" t="s">
        <v>974</v>
      </c>
      <c r="H4" s="1003"/>
      <c r="I4" s="1004" t="s">
        <v>975</v>
      </c>
      <c r="J4" s="1005" t="s">
        <v>976</v>
      </c>
      <c r="K4" s="24"/>
      <c r="L4" s="24"/>
      <c r="M4" s="24"/>
      <c r="N4" s="24"/>
      <c r="O4" s="24"/>
      <c r="P4" s="24"/>
      <c r="Q4" s="24"/>
      <c r="R4" s="24"/>
      <c r="S4" s="24"/>
    </row>
    <row r="5" spans="1:19" ht="12.75" customHeight="1" x14ac:dyDescent="0.2">
      <c r="B5" s="1002"/>
      <c r="C5" s="1006"/>
      <c r="D5" s="1004"/>
      <c r="E5" s="1004"/>
      <c r="F5" s="1004"/>
      <c r="G5" s="1004"/>
      <c r="H5" s="1004"/>
      <c r="I5" s="1004"/>
      <c r="J5" s="1007"/>
      <c r="K5" s="24"/>
      <c r="L5" s="24"/>
      <c r="M5" s="24"/>
      <c r="N5" s="24"/>
      <c r="O5" s="24"/>
      <c r="P5" s="24"/>
      <c r="Q5" s="24"/>
      <c r="R5" s="24"/>
      <c r="S5" s="24"/>
    </row>
    <row r="6" spans="1:19" ht="12.75" customHeight="1" x14ac:dyDescent="0.2">
      <c r="B6" s="1008"/>
      <c r="C6" s="1009"/>
      <c r="D6" s="1003"/>
      <c r="E6" s="1003"/>
      <c r="F6" s="1003"/>
      <c r="G6" s="1010"/>
      <c r="H6" s="1003"/>
      <c r="I6" s="1003"/>
      <c r="J6" s="1007"/>
      <c r="K6" s="24"/>
      <c r="L6" s="24"/>
      <c r="M6" s="24"/>
      <c r="N6" s="24"/>
      <c r="O6" s="24"/>
      <c r="P6" s="24"/>
      <c r="Q6" s="24"/>
      <c r="R6" s="24"/>
      <c r="S6" s="24"/>
    </row>
    <row r="7" spans="1:19" ht="12.75" customHeight="1" x14ac:dyDescent="0.2">
      <c r="B7" s="1011">
        <v>2006</v>
      </c>
      <c r="C7" s="1012" t="s">
        <v>960</v>
      </c>
      <c r="D7" s="1013">
        <v>0</v>
      </c>
      <c r="E7" s="1014">
        <v>1.2</v>
      </c>
      <c r="F7" s="1014"/>
      <c r="G7" s="1018">
        <f>D8*E8</f>
        <v>627.06999999999994</v>
      </c>
      <c r="H7" s="1009"/>
      <c r="I7" s="1018">
        <f>IF(D7&gt;0,D7*E7-(G7),0)</f>
        <v>0</v>
      </c>
      <c r="J7" s="1020"/>
      <c r="K7" s="1022"/>
      <c r="L7" s="24"/>
      <c r="M7" s="24"/>
      <c r="N7" s="24"/>
      <c r="O7" s="24"/>
      <c r="P7" s="24"/>
      <c r="Q7" s="24"/>
      <c r="R7" s="24"/>
      <c r="S7" s="24"/>
    </row>
    <row r="8" spans="1:19" ht="12.75" customHeight="1" x14ac:dyDescent="0.2">
      <c r="B8" s="1023">
        <v>18</v>
      </c>
      <c r="C8" s="1012" t="s">
        <v>961</v>
      </c>
      <c r="D8" s="1013">
        <v>859</v>
      </c>
      <c r="E8" s="1024">
        <v>0.73</v>
      </c>
      <c r="F8" s="1024"/>
      <c r="G8" s="1009"/>
      <c r="H8" s="1009"/>
      <c r="I8" s="1018">
        <f>D8*E8</f>
        <v>627.06999999999994</v>
      </c>
      <c r="J8" s="1028">
        <f>I8/1000000</f>
        <v>6.2706999999999997E-4</v>
      </c>
      <c r="K8" s="1022"/>
      <c r="L8" s="24"/>
      <c r="M8" s="24"/>
      <c r="N8" s="24"/>
      <c r="O8" s="24"/>
      <c r="P8" s="24"/>
      <c r="Q8" s="24"/>
      <c r="R8" s="24"/>
      <c r="S8" s="24"/>
    </row>
    <row r="9" spans="1:19" ht="13.5" customHeight="1" x14ac:dyDescent="0.2">
      <c r="B9" s="1029"/>
      <c r="C9" s="1031"/>
      <c r="D9" s="1032"/>
      <c r="E9" s="1032"/>
      <c r="F9" s="1032"/>
      <c r="G9" s="1033"/>
      <c r="H9" s="1032"/>
      <c r="I9" s="1032"/>
      <c r="J9" s="1036"/>
      <c r="K9" s="24"/>
      <c r="L9" s="24"/>
      <c r="M9" s="24"/>
      <c r="N9" s="24"/>
      <c r="O9" s="24"/>
      <c r="P9" s="24"/>
      <c r="Q9" s="24"/>
      <c r="R9" s="24"/>
      <c r="S9" s="24"/>
    </row>
    <row r="10" spans="1:19" ht="12" customHeight="1" x14ac:dyDescent="0.2"/>
    <row r="11" spans="1:19" ht="11.25" customHeight="1" x14ac:dyDescent="0.2"/>
    <row r="12" spans="1:19" ht="11.25" customHeight="1" x14ac:dyDescent="0.2"/>
    <row r="13" spans="1:19" ht="11.25" customHeight="1" x14ac:dyDescent="0.2"/>
    <row r="14" spans="1:19" ht="11.25" customHeight="1" x14ac:dyDescent="0.2"/>
    <row r="15" spans="1:19" ht="11.25" customHeight="1" x14ac:dyDescent="0.2"/>
    <row r="16" spans="1:19"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C450"/>
  <sheetViews>
    <sheetView workbookViewId="0"/>
  </sheetViews>
  <sheetFormatPr defaultColWidth="16.83203125" defaultRowHeight="15" customHeight="1" x14ac:dyDescent="0.2"/>
  <cols>
    <col min="1" max="1" width="6" customWidth="1"/>
    <col min="2" max="2" width="34.33203125" customWidth="1"/>
    <col min="3" max="3" width="11" customWidth="1"/>
    <col min="4" max="4" width="3.83203125" customWidth="1"/>
    <col min="5" max="5" width="13.1640625" customWidth="1"/>
    <col min="6" max="6" width="3.83203125" customWidth="1"/>
    <col min="7" max="7" width="12" customWidth="1"/>
    <col min="8" max="8" width="3.83203125" customWidth="1"/>
    <col min="9" max="9" width="12.33203125" customWidth="1"/>
    <col min="10" max="10" width="3.83203125" customWidth="1"/>
    <col min="11" max="11" width="12.33203125" customWidth="1"/>
    <col min="12" max="12" width="3.83203125" customWidth="1"/>
    <col min="13" max="13" width="12.33203125" customWidth="1"/>
    <col min="14" max="14" width="3.83203125" customWidth="1"/>
    <col min="15" max="15" width="10.83203125" customWidth="1"/>
    <col min="16" max="16" width="3.83203125" customWidth="1"/>
    <col min="17" max="17" width="11" customWidth="1"/>
    <col min="18" max="18" width="3.83203125" customWidth="1"/>
    <col min="19" max="19" width="12.6640625" customWidth="1"/>
    <col min="20" max="20" width="3.83203125" customWidth="1"/>
    <col min="21" max="21" width="13" customWidth="1"/>
    <col min="22" max="22" width="3.83203125" customWidth="1"/>
    <col min="23" max="23" width="12.5" customWidth="1"/>
    <col min="24" max="24" width="2.83203125" customWidth="1"/>
    <col min="25" max="25" width="14" customWidth="1"/>
    <col min="26" max="26" width="8" customWidth="1"/>
    <col min="27" max="27" width="10.6640625" customWidth="1"/>
    <col min="28" max="28" width="2.83203125" customWidth="1"/>
    <col min="29" max="29" width="10.6640625" customWidth="1"/>
    <col min="30" max="30" width="2.83203125" customWidth="1"/>
    <col min="31" max="31" width="10.5" customWidth="1"/>
    <col min="32" max="81" width="8" customWidth="1"/>
  </cols>
  <sheetData>
    <row r="1" spans="1:46" ht="33" customHeight="1" x14ac:dyDescent="0.45">
      <c r="A1" s="11" t="s">
        <v>978</v>
      </c>
      <c r="E1" s="16"/>
    </row>
    <row r="2" spans="1:46" ht="393.75" customHeight="1" x14ac:dyDescent="0.25">
      <c r="A2" s="24"/>
      <c r="B2" s="1834"/>
      <c r="C2" s="1766"/>
      <c r="D2" s="1766"/>
      <c r="E2" s="1766"/>
      <c r="F2" s="1766"/>
      <c r="G2" s="1766"/>
      <c r="H2" s="1766"/>
      <c r="I2" s="1766"/>
      <c r="J2" s="1766"/>
      <c r="K2" s="1766"/>
      <c r="L2" s="1766"/>
      <c r="M2" s="1766"/>
      <c r="N2" s="1766"/>
      <c r="O2" s="1766"/>
      <c r="P2" s="1766"/>
      <c r="Q2" s="1766"/>
      <c r="R2" s="1766"/>
      <c r="S2" s="1766"/>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3" spans="1:46" ht="19.5" customHeight="1" x14ac:dyDescent="0.4">
      <c r="B3" s="1025" t="s">
        <v>980</v>
      </c>
      <c r="C3" s="1026"/>
      <c r="D3" s="1026"/>
      <c r="E3" s="1026"/>
    </row>
    <row r="4" spans="1:46" ht="36.75" customHeight="1" x14ac:dyDescent="0.2">
      <c r="B4" s="24"/>
      <c r="C4" s="1027" t="s">
        <v>982</v>
      </c>
      <c r="D4" s="1027"/>
      <c r="E4" s="1027" t="s">
        <v>984</v>
      </c>
      <c r="F4" s="1027"/>
      <c r="G4" s="1027" t="s">
        <v>985</v>
      </c>
      <c r="H4" s="62"/>
      <c r="I4" s="1027" t="s">
        <v>986</v>
      </c>
      <c r="J4" s="62"/>
      <c r="K4" s="1027" t="s">
        <v>987</v>
      </c>
      <c r="L4" s="62"/>
      <c r="M4" s="1027" t="s">
        <v>989</v>
      </c>
      <c r="Y4" s="1769" t="s">
        <v>1</v>
      </c>
      <c r="Z4" s="1759"/>
    </row>
    <row r="5" spans="1:46" ht="11.25" customHeight="1" x14ac:dyDescent="0.2">
      <c r="B5" s="873" t="s">
        <v>991</v>
      </c>
      <c r="C5" s="477"/>
      <c r="D5" s="1035"/>
      <c r="I5" s="1037"/>
      <c r="Y5" s="235"/>
      <c r="Z5" s="235"/>
    </row>
    <row r="6" spans="1:46" ht="11.25" customHeight="1" x14ac:dyDescent="0.2">
      <c r="B6" s="1038" t="s">
        <v>993</v>
      </c>
      <c r="C6" s="1039">
        <v>70</v>
      </c>
      <c r="D6" s="1035" t="s">
        <v>755</v>
      </c>
      <c r="E6" s="1040">
        <v>129.14362824819554</v>
      </c>
      <c r="F6" s="1035" t="s">
        <v>740</v>
      </c>
      <c r="G6" s="1042">
        <f t="shared" ref="G6:G9" si="0">C6*E6*1000</f>
        <v>9040053.9773736876</v>
      </c>
      <c r="H6" s="1035" t="s">
        <v>740</v>
      </c>
      <c r="I6" s="1044">
        <f t="shared" ref="I6:I9" si="1">G6/1000*10^-6</f>
        <v>9.0400539773736865E-3</v>
      </c>
      <c r="J6" s="1035" t="s">
        <v>740</v>
      </c>
      <c r="K6" s="1045">
        <f t="shared" ref="K6:K9" si="2">(I6*$Z$7)*12/44</f>
        <v>6.878659253692522E-2</v>
      </c>
      <c r="L6" s="1035" t="s">
        <v>740</v>
      </c>
      <c r="M6" s="1045">
        <f t="shared" ref="M6:M9" si="3">K6/(12/44)</f>
        <v>0.25221750596872583</v>
      </c>
      <c r="Y6" s="240" t="s">
        <v>433</v>
      </c>
      <c r="Z6" s="241">
        <f>Summary!$E4</f>
        <v>1</v>
      </c>
    </row>
    <row r="7" spans="1:46" ht="11.25" customHeight="1" x14ac:dyDescent="0.2">
      <c r="B7" s="1038" t="s">
        <v>1000</v>
      </c>
      <c r="C7" s="1048">
        <v>30</v>
      </c>
      <c r="D7" s="1035" t="s">
        <v>755</v>
      </c>
      <c r="E7" s="1040">
        <v>62.580097028641497</v>
      </c>
      <c r="F7" s="1035" t="s">
        <v>740</v>
      </c>
      <c r="G7" s="1042">
        <f t="shared" si="0"/>
        <v>1877402.9108592449</v>
      </c>
      <c r="H7" s="1035" t="s">
        <v>740</v>
      </c>
      <c r="I7" s="1044">
        <f t="shared" si="1"/>
        <v>1.8774029108592448E-3</v>
      </c>
      <c r="J7" s="1035" t="s">
        <v>740</v>
      </c>
      <c r="K7" s="1045">
        <f t="shared" si="2"/>
        <v>1.4285329421719889E-2</v>
      </c>
      <c r="L7" s="1035" t="s">
        <v>740</v>
      </c>
      <c r="M7" s="1045">
        <f t="shared" si="3"/>
        <v>5.2379541212972933E-2</v>
      </c>
      <c r="Y7" s="240" t="s">
        <v>438</v>
      </c>
      <c r="Z7" s="241">
        <f>Summary!$E5</f>
        <v>27.9</v>
      </c>
    </row>
    <row r="8" spans="1:46" ht="11.25" customHeight="1" x14ac:dyDescent="0.2">
      <c r="B8" s="1038" t="s">
        <v>1001</v>
      </c>
      <c r="C8" s="1048">
        <v>0</v>
      </c>
      <c r="D8" s="1035" t="s">
        <v>755</v>
      </c>
      <c r="E8" s="1040">
        <v>46.088127631421706</v>
      </c>
      <c r="F8" s="1035" t="s">
        <v>740</v>
      </c>
      <c r="G8" s="1042">
        <f t="shared" si="0"/>
        <v>0</v>
      </c>
      <c r="H8" s="1035" t="s">
        <v>740</v>
      </c>
      <c r="I8" s="1044">
        <f t="shared" si="1"/>
        <v>0</v>
      </c>
      <c r="J8" s="1035" t="s">
        <v>740</v>
      </c>
      <c r="K8" s="1045">
        <f t="shared" si="2"/>
        <v>0</v>
      </c>
      <c r="L8" s="1035" t="s">
        <v>740</v>
      </c>
      <c r="M8" s="1045">
        <f t="shared" si="3"/>
        <v>0</v>
      </c>
      <c r="Y8" s="240" t="s">
        <v>444</v>
      </c>
      <c r="Z8" s="241">
        <f>Summary!$E6</f>
        <v>273</v>
      </c>
    </row>
    <row r="9" spans="1:46" ht="11.25" customHeight="1" x14ac:dyDescent="0.2">
      <c r="B9" s="1038" t="s">
        <v>1002</v>
      </c>
      <c r="C9" s="1048">
        <v>0</v>
      </c>
      <c r="D9" s="1035" t="s">
        <v>755</v>
      </c>
      <c r="E9" s="1040">
        <v>69.571209567953133</v>
      </c>
      <c r="F9" s="1035" t="s">
        <v>740</v>
      </c>
      <c r="G9" s="1042">
        <f t="shared" si="0"/>
        <v>0</v>
      </c>
      <c r="H9" s="1035" t="s">
        <v>740</v>
      </c>
      <c r="I9" s="1044">
        <f t="shared" si="1"/>
        <v>0</v>
      </c>
      <c r="J9" s="1035" t="s">
        <v>740</v>
      </c>
      <c r="K9" s="1045">
        <f t="shared" si="2"/>
        <v>0</v>
      </c>
      <c r="L9" s="1035" t="s">
        <v>740</v>
      </c>
      <c r="M9" s="1045">
        <f t="shared" si="3"/>
        <v>0</v>
      </c>
      <c r="Y9" s="240" t="s">
        <v>447</v>
      </c>
      <c r="Z9" s="247">
        <f>Summary!$E7</f>
        <v>24300</v>
      </c>
    </row>
    <row r="10" spans="1:46" ht="11.25" customHeight="1" x14ac:dyDescent="0.2">
      <c r="B10" s="873" t="s">
        <v>1003</v>
      </c>
      <c r="C10" s="1050"/>
      <c r="D10" s="1035"/>
      <c r="E10" s="1051"/>
      <c r="F10" s="1035"/>
      <c r="G10" s="1052"/>
      <c r="H10" s="1035"/>
      <c r="I10" s="1053"/>
      <c r="J10" s="1035"/>
      <c r="K10" s="1054"/>
      <c r="L10" s="1035"/>
      <c r="M10" s="1054"/>
      <c r="Y10" s="240"/>
      <c r="Z10" s="247"/>
    </row>
    <row r="11" spans="1:46" ht="11.25" customHeight="1" x14ac:dyDescent="0.2">
      <c r="B11" s="1038" t="s">
        <v>1004</v>
      </c>
      <c r="C11" s="1048">
        <v>49</v>
      </c>
      <c r="D11" s="1035" t="s">
        <v>755</v>
      </c>
      <c r="E11" s="1040">
        <v>93.473136169388326</v>
      </c>
      <c r="F11" s="1035" t="s">
        <v>740</v>
      </c>
      <c r="G11" s="1042">
        <f t="shared" ref="G11:G19" si="4">C11*E11*1000</f>
        <v>4580183.6723000277</v>
      </c>
      <c r="H11" s="1035" t="s">
        <v>740</v>
      </c>
      <c r="I11" s="1044">
        <f t="shared" ref="I11:I19" si="5">G11/1000*10^-6</f>
        <v>4.580183672300028E-3</v>
      </c>
      <c r="J11" s="1035" t="s">
        <v>740</v>
      </c>
      <c r="K11" s="1045">
        <f t="shared" ref="K11:K19" si="6">(I11*$Z$7)*12/44</f>
        <v>3.4851033942864755E-2</v>
      </c>
      <c r="L11" s="1035" t="s">
        <v>740</v>
      </c>
      <c r="M11" s="1045">
        <f t="shared" ref="M11:M19" si="7">K11/(12/44)</f>
        <v>0.12778712445717078</v>
      </c>
    </row>
    <row r="12" spans="1:46" ht="11.25" customHeight="1" x14ac:dyDescent="0.2">
      <c r="B12" s="1038" t="s">
        <v>1005</v>
      </c>
      <c r="C12" s="1048">
        <v>13</v>
      </c>
      <c r="D12" s="1035" t="s">
        <v>755</v>
      </c>
      <c r="E12" s="1040">
        <v>65.827953765515716</v>
      </c>
      <c r="F12" s="1035" t="s">
        <v>740</v>
      </c>
      <c r="G12" s="1042">
        <f t="shared" si="4"/>
        <v>855763.39895170426</v>
      </c>
      <c r="H12" s="1035" t="s">
        <v>740</v>
      </c>
      <c r="I12" s="1044">
        <f t="shared" si="5"/>
        <v>8.557633989517043E-4</v>
      </c>
      <c r="J12" s="1035" t="s">
        <v>740</v>
      </c>
      <c r="K12" s="1045">
        <f t="shared" si="6"/>
        <v>6.5115814992961494E-3</v>
      </c>
      <c r="L12" s="1035" t="s">
        <v>740</v>
      </c>
      <c r="M12" s="1045">
        <f t="shared" si="7"/>
        <v>2.387579883075255E-2</v>
      </c>
    </row>
    <row r="13" spans="1:46" ht="11.25" customHeight="1" x14ac:dyDescent="0.2">
      <c r="B13" s="1038" t="s">
        <v>1001</v>
      </c>
      <c r="C13" s="1048">
        <v>0</v>
      </c>
      <c r="D13" s="1035" t="s">
        <v>755</v>
      </c>
      <c r="E13" s="1040">
        <v>59.202111218634663</v>
      </c>
      <c r="F13" s="1035" t="s">
        <v>740</v>
      </c>
      <c r="G13" s="1042">
        <f t="shared" si="4"/>
        <v>0</v>
      </c>
      <c r="H13" s="1035" t="s">
        <v>740</v>
      </c>
      <c r="I13" s="1044">
        <f t="shared" si="5"/>
        <v>0</v>
      </c>
      <c r="J13" s="1035" t="s">
        <v>740</v>
      </c>
      <c r="K13" s="1045">
        <f t="shared" si="6"/>
        <v>0</v>
      </c>
      <c r="L13" s="1035" t="s">
        <v>740</v>
      </c>
      <c r="M13" s="1045">
        <f t="shared" si="7"/>
        <v>0</v>
      </c>
    </row>
    <row r="14" spans="1:46" ht="11.25" customHeight="1" x14ac:dyDescent="0.2">
      <c r="B14" s="1038" t="s">
        <v>1002</v>
      </c>
      <c r="C14" s="1048">
        <v>0</v>
      </c>
      <c r="D14" s="1035" t="s">
        <v>755</v>
      </c>
      <c r="E14" s="1040">
        <v>68.604947979802589</v>
      </c>
      <c r="F14" s="1035" t="s">
        <v>740</v>
      </c>
      <c r="G14" s="1042">
        <f t="shared" si="4"/>
        <v>0</v>
      </c>
      <c r="H14" s="1035" t="s">
        <v>740</v>
      </c>
      <c r="I14" s="1044">
        <f t="shared" si="5"/>
        <v>0</v>
      </c>
      <c r="J14" s="1035" t="s">
        <v>740</v>
      </c>
      <c r="K14" s="1045">
        <f t="shared" si="6"/>
        <v>0</v>
      </c>
      <c r="L14" s="1035" t="s">
        <v>740</v>
      </c>
      <c r="M14" s="1045">
        <f t="shared" si="7"/>
        <v>0</v>
      </c>
    </row>
    <row r="15" spans="1:46" ht="11.25" customHeight="1" x14ac:dyDescent="0.2">
      <c r="B15" s="1038" t="s">
        <v>1006</v>
      </c>
      <c r="C15" s="1048">
        <v>10</v>
      </c>
      <c r="D15" s="1035" t="s">
        <v>755</v>
      </c>
      <c r="E15" s="1040">
        <v>59.110511174382182</v>
      </c>
      <c r="F15" s="1035" t="s">
        <v>740</v>
      </c>
      <c r="G15" s="1042">
        <f t="shared" si="4"/>
        <v>591105.11174382176</v>
      </c>
      <c r="H15" s="1035" t="s">
        <v>740</v>
      </c>
      <c r="I15" s="1044">
        <f t="shared" si="5"/>
        <v>5.9110511174382174E-4</v>
      </c>
      <c r="J15" s="1035" t="s">
        <v>740</v>
      </c>
      <c r="K15" s="1045">
        <f t="shared" si="6"/>
        <v>4.4977725320870798E-3</v>
      </c>
      <c r="L15" s="1035" t="s">
        <v>740</v>
      </c>
      <c r="M15" s="1045">
        <f t="shared" si="7"/>
        <v>1.6491832617652628E-2</v>
      </c>
    </row>
    <row r="16" spans="1:46" ht="11.25" customHeight="1" x14ac:dyDescent="0.2">
      <c r="B16" s="1038" t="s">
        <v>1007</v>
      </c>
      <c r="C16" s="1048">
        <v>18</v>
      </c>
      <c r="D16" s="1035" t="s">
        <v>755</v>
      </c>
      <c r="E16" s="1040">
        <v>57.315384474713255</v>
      </c>
      <c r="F16" s="1035" t="s">
        <v>740</v>
      </c>
      <c r="G16" s="1042">
        <f t="shared" si="4"/>
        <v>1031676.9205448386</v>
      </c>
      <c r="H16" s="1035" t="s">
        <v>740</v>
      </c>
      <c r="I16" s="1044">
        <f t="shared" si="5"/>
        <v>1.0316769205448385E-3</v>
      </c>
      <c r="J16" s="1035" t="s">
        <v>740</v>
      </c>
      <c r="K16" s="1045">
        <f t="shared" si="6"/>
        <v>7.8501234772366344E-3</v>
      </c>
      <c r="L16" s="1035" t="s">
        <v>740</v>
      </c>
      <c r="M16" s="1045">
        <f t="shared" si="7"/>
        <v>2.8783786083200993E-2</v>
      </c>
    </row>
    <row r="17" spans="2:23" ht="11.25" customHeight="1" x14ac:dyDescent="0.2">
      <c r="B17" s="1038" t="s">
        <v>1008</v>
      </c>
      <c r="C17" s="1048">
        <v>3.9119999999999999</v>
      </c>
      <c r="D17" s="1035" t="s">
        <v>755</v>
      </c>
      <c r="E17" s="1040">
        <v>33.198701729144084</v>
      </c>
      <c r="F17" s="1035" t="s">
        <v>740</v>
      </c>
      <c r="G17" s="1042">
        <f t="shared" si="4"/>
        <v>129873.32116441167</v>
      </c>
      <c r="H17" s="1035" t="s">
        <v>740</v>
      </c>
      <c r="I17" s="1044">
        <f t="shared" si="5"/>
        <v>1.2987332116441166E-4</v>
      </c>
      <c r="J17" s="1035" t="s">
        <v>740</v>
      </c>
      <c r="K17" s="1045">
        <f t="shared" si="6"/>
        <v>9.8821790740556865E-4</v>
      </c>
      <c r="L17" s="1035" t="s">
        <v>740</v>
      </c>
      <c r="M17" s="1045">
        <f t="shared" si="7"/>
        <v>3.6234656604870854E-3</v>
      </c>
    </row>
    <row r="18" spans="2:23" ht="11.25" customHeight="1" x14ac:dyDescent="0.2">
      <c r="B18" s="1038" t="s">
        <v>1009</v>
      </c>
      <c r="C18" s="1048">
        <v>7.3949999999999996</v>
      </c>
      <c r="D18" s="1035" t="s">
        <v>755</v>
      </c>
      <c r="E18" s="1040">
        <v>32.164080937316001</v>
      </c>
      <c r="F18" s="1035" t="s">
        <v>740</v>
      </c>
      <c r="G18" s="1042">
        <f t="shared" si="4"/>
        <v>237853.37853145183</v>
      </c>
      <c r="H18" s="1035" t="s">
        <v>740</v>
      </c>
      <c r="I18" s="1044">
        <f t="shared" si="5"/>
        <v>2.3785337853145182E-4</v>
      </c>
      <c r="J18" s="1035" t="s">
        <v>740</v>
      </c>
      <c r="K18" s="1045">
        <f t="shared" si="6"/>
        <v>1.8098479802802286E-3</v>
      </c>
      <c r="L18" s="1035" t="s">
        <v>740</v>
      </c>
      <c r="M18" s="1045">
        <f t="shared" si="7"/>
        <v>6.6361092610275054E-3</v>
      </c>
    </row>
    <row r="19" spans="2:23" ht="11.25" customHeight="1" x14ac:dyDescent="0.2">
      <c r="B19" s="1038" t="s">
        <v>1010</v>
      </c>
      <c r="C19" s="1048">
        <v>3</v>
      </c>
      <c r="D19" s="1035" t="s">
        <v>755</v>
      </c>
      <c r="E19" s="1055">
        <v>53</v>
      </c>
      <c r="F19" s="1035" t="s">
        <v>740</v>
      </c>
      <c r="G19" s="1042">
        <f t="shared" si="4"/>
        <v>159000</v>
      </c>
      <c r="H19" s="1035" t="s">
        <v>740</v>
      </c>
      <c r="I19" s="1044">
        <f t="shared" si="5"/>
        <v>1.5899999999999999E-4</v>
      </c>
      <c r="J19" s="1035" t="s">
        <v>740</v>
      </c>
      <c r="K19" s="1045">
        <f t="shared" si="6"/>
        <v>1.2098454545454544E-3</v>
      </c>
      <c r="L19" s="1035" t="s">
        <v>740</v>
      </c>
      <c r="M19" s="1045">
        <f t="shared" si="7"/>
        <v>4.4361000000000001E-3</v>
      </c>
    </row>
    <row r="20" spans="2:23" ht="11.25" customHeight="1" x14ac:dyDescent="0.2">
      <c r="B20" s="873" t="s">
        <v>92</v>
      </c>
      <c r="C20" s="1056"/>
      <c r="D20" s="1035"/>
      <c r="E20" s="1051"/>
      <c r="F20" s="1035"/>
      <c r="G20" s="1052"/>
      <c r="H20" s="1035"/>
      <c r="I20" s="1053"/>
      <c r="J20" s="1035"/>
      <c r="K20" s="1054"/>
      <c r="L20" s="1035"/>
      <c r="M20" s="1054"/>
    </row>
    <row r="21" spans="2:23" ht="11.25" customHeight="1" x14ac:dyDescent="0.2">
      <c r="B21" s="1038" t="s">
        <v>1011</v>
      </c>
      <c r="C21" s="1048">
        <v>22</v>
      </c>
      <c r="D21" s="1035" t="s">
        <v>755</v>
      </c>
      <c r="E21" s="1057">
        <v>8</v>
      </c>
      <c r="F21" s="1035" t="s">
        <v>740</v>
      </c>
      <c r="G21" s="1042">
        <f t="shared" ref="G21:G24" si="8">C21*E21*1000</f>
        <v>176000</v>
      </c>
      <c r="H21" s="1035" t="s">
        <v>740</v>
      </c>
      <c r="I21" s="1044">
        <f t="shared" ref="I21:I24" si="9">G21/1000*10^-6</f>
        <v>1.76E-4</v>
      </c>
      <c r="J21" s="1035" t="s">
        <v>740</v>
      </c>
      <c r="K21" s="1045">
        <f t="shared" ref="K21:K24" si="10">(I21*$Z$7)*12/44</f>
        <v>1.3392E-3</v>
      </c>
      <c r="L21" s="1035" t="s">
        <v>740</v>
      </c>
      <c r="M21" s="1045">
        <f t="shared" ref="M21:M24" si="11">K21/(12/44)</f>
        <v>4.9104000000000005E-3</v>
      </c>
    </row>
    <row r="22" spans="2:23" ht="11.25" customHeight="1" x14ac:dyDescent="0.2">
      <c r="B22" s="1038" t="s">
        <v>1012</v>
      </c>
      <c r="C22" s="1048">
        <v>9.6010000000000009</v>
      </c>
      <c r="D22" s="1035" t="s">
        <v>755</v>
      </c>
      <c r="E22" s="1040">
        <v>5</v>
      </c>
      <c r="F22" s="1035" t="s">
        <v>740</v>
      </c>
      <c r="G22" s="1042">
        <f t="shared" si="8"/>
        <v>48005</v>
      </c>
      <c r="H22" s="1035" t="s">
        <v>740</v>
      </c>
      <c r="I22" s="1044">
        <f t="shared" si="9"/>
        <v>4.8004999999999999E-5</v>
      </c>
      <c r="J22" s="1035" t="s">
        <v>740</v>
      </c>
      <c r="K22" s="1045">
        <f t="shared" si="10"/>
        <v>3.6527440909090906E-4</v>
      </c>
      <c r="L22" s="1035" t="s">
        <v>740</v>
      </c>
      <c r="M22" s="1045">
        <f t="shared" si="11"/>
        <v>1.3393394999999999E-3</v>
      </c>
    </row>
    <row r="23" spans="2:23" ht="11.25" customHeight="1" x14ac:dyDescent="0.2">
      <c r="B23" s="1038" t="s">
        <v>1013</v>
      </c>
      <c r="C23" s="1048">
        <v>33</v>
      </c>
      <c r="D23" s="1035" t="s">
        <v>755</v>
      </c>
      <c r="E23" s="1040">
        <v>1.5</v>
      </c>
      <c r="F23" s="1035" t="s">
        <v>740</v>
      </c>
      <c r="G23" s="1042">
        <f t="shared" si="8"/>
        <v>49500</v>
      </c>
      <c r="H23" s="1035" t="s">
        <v>740</v>
      </c>
      <c r="I23" s="1044">
        <f t="shared" si="9"/>
        <v>4.9499999999999997E-5</v>
      </c>
      <c r="J23" s="1035" t="s">
        <v>740</v>
      </c>
      <c r="K23" s="1045">
        <f t="shared" si="10"/>
        <v>3.7664999999999991E-4</v>
      </c>
      <c r="L23" s="1035" t="s">
        <v>740</v>
      </c>
      <c r="M23" s="1045">
        <f t="shared" si="11"/>
        <v>1.3810499999999998E-3</v>
      </c>
    </row>
    <row r="24" spans="2:23" ht="12" customHeight="1" x14ac:dyDescent="0.2">
      <c r="B24" s="1038" t="s">
        <v>1014</v>
      </c>
      <c r="C24" s="1048">
        <v>65.510999999999996</v>
      </c>
      <c r="D24" s="1035" t="s">
        <v>755</v>
      </c>
      <c r="E24" s="1040">
        <v>18</v>
      </c>
      <c r="F24" s="1035" t="s">
        <v>740</v>
      </c>
      <c r="G24" s="1042">
        <f t="shared" si="8"/>
        <v>1179197.9999999998</v>
      </c>
      <c r="H24" s="1035" t="s">
        <v>740</v>
      </c>
      <c r="I24" s="1044">
        <f t="shared" si="9"/>
        <v>1.1791979999999998E-3</v>
      </c>
      <c r="J24" s="1035" t="s">
        <v>740</v>
      </c>
      <c r="K24" s="1045">
        <f t="shared" si="10"/>
        <v>8.9726247818181799E-3</v>
      </c>
      <c r="L24" s="1035" t="s">
        <v>740</v>
      </c>
      <c r="M24" s="1045">
        <f t="shared" si="11"/>
        <v>3.2899624199999998E-2</v>
      </c>
    </row>
    <row r="25" spans="2:23" ht="12" customHeight="1" x14ac:dyDescent="0.2">
      <c r="B25" s="873" t="s">
        <v>907</v>
      </c>
      <c r="C25" s="477"/>
      <c r="D25" s="1035"/>
      <c r="E25" s="1035"/>
      <c r="F25" s="1035"/>
      <c r="G25" s="1058">
        <f>SUM(G6:G24)</f>
        <v>19955615.691469189</v>
      </c>
      <c r="H25" s="297"/>
      <c r="I25" s="1059">
        <f>SUM(I6:I24)</f>
        <v>1.9955615691469183E-2</v>
      </c>
      <c r="J25" s="297"/>
      <c r="K25" s="1060">
        <f>SUM(K6:K24)</f>
        <v>0.15184409394327006</v>
      </c>
      <c r="M25" s="1060">
        <f>SUM(M6:M24)</f>
        <v>0.55676167779199037</v>
      </c>
    </row>
    <row r="26" spans="2:23" ht="12" customHeight="1" x14ac:dyDescent="0.2">
      <c r="B26" s="1061"/>
      <c r="C26" s="1062"/>
      <c r="D26" s="1063"/>
      <c r="E26" s="1063"/>
      <c r="F26" s="1063"/>
      <c r="G26" s="1064"/>
      <c r="H26" s="1065"/>
      <c r="I26" s="1066"/>
      <c r="J26" s="1065"/>
      <c r="K26" s="1067"/>
      <c r="L26" s="74"/>
      <c r="M26" s="1067"/>
      <c r="N26" s="74"/>
      <c r="O26" s="74"/>
      <c r="P26" s="74"/>
      <c r="Q26" s="74"/>
      <c r="R26" s="74"/>
      <c r="S26" s="74"/>
      <c r="T26" s="74"/>
      <c r="U26" s="74"/>
      <c r="V26" s="74"/>
      <c r="W26" s="74"/>
    </row>
    <row r="27" spans="2:23" ht="19.5" customHeight="1" x14ac:dyDescent="0.4">
      <c r="B27" s="1025" t="s">
        <v>1015</v>
      </c>
      <c r="C27" s="1068"/>
      <c r="D27" s="1069"/>
      <c r="E27" s="1069"/>
      <c r="F27" s="1035"/>
      <c r="G27" s="1070"/>
      <c r="H27" s="297"/>
      <c r="I27" s="1071"/>
      <c r="J27" s="297"/>
      <c r="K27" s="1072"/>
      <c r="M27" s="1072"/>
    </row>
    <row r="28" spans="2:23" ht="45.75" customHeight="1" x14ac:dyDescent="0.2">
      <c r="B28" s="62"/>
      <c r="C28" s="1073" t="s">
        <v>1016</v>
      </c>
      <c r="D28" s="1074"/>
      <c r="E28" s="1073" t="s">
        <v>1017</v>
      </c>
      <c r="F28" s="1073"/>
      <c r="G28" s="1027" t="s">
        <v>1018</v>
      </c>
      <c r="H28" s="1027"/>
      <c r="I28" s="1073" t="s">
        <v>1019</v>
      </c>
      <c r="J28" s="297"/>
      <c r="K28" s="1073" t="s">
        <v>1021</v>
      </c>
      <c r="L28" s="1073"/>
      <c r="M28" s="1073" t="s">
        <v>1022</v>
      </c>
      <c r="N28" s="1073"/>
      <c r="O28" s="1073" t="s">
        <v>1023</v>
      </c>
      <c r="P28" s="1073"/>
      <c r="Q28" s="1073" t="s">
        <v>1024</v>
      </c>
      <c r="R28" s="1073"/>
      <c r="S28" s="1073" t="s">
        <v>1025</v>
      </c>
      <c r="T28" s="1073"/>
      <c r="U28" s="1073" t="s">
        <v>1026</v>
      </c>
      <c r="V28" s="1073"/>
      <c r="W28" s="1073" t="s">
        <v>1027</v>
      </c>
    </row>
    <row r="29" spans="2:23" ht="15" customHeight="1" x14ac:dyDescent="0.2">
      <c r="B29" s="1077" t="s">
        <v>991</v>
      </c>
      <c r="C29" s="1073"/>
      <c r="D29" s="1078"/>
      <c r="E29" s="1079"/>
      <c r="F29" s="1078"/>
      <c r="G29" s="1078"/>
      <c r="H29" s="1078"/>
      <c r="I29" s="1073"/>
      <c r="J29" s="1073"/>
      <c r="K29" s="1073"/>
      <c r="L29" s="1073"/>
      <c r="M29" s="1035"/>
      <c r="N29" s="1073"/>
      <c r="O29" s="1080"/>
      <c r="P29" s="1081"/>
      <c r="Q29" s="477"/>
      <c r="R29" s="1073"/>
      <c r="S29" s="1073"/>
      <c r="T29" s="1073"/>
      <c r="U29" s="1073"/>
      <c r="V29" s="1073"/>
      <c r="W29" s="1073"/>
    </row>
    <row r="30" spans="2:23" ht="11.25" customHeight="1" x14ac:dyDescent="0.2">
      <c r="B30" s="1038" t="s">
        <v>993</v>
      </c>
      <c r="C30" s="1084">
        <v>70</v>
      </c>
      <c r="D30" s="1035" t="s">
        <v>755</v>
      </c>
      <c r="E30" s="1085">
        <v>604</v>
      </c>
      <c r="F30" s="1035" t="s">
        <v>755</v>
      </c>
      <c r="G30" s="1040">
        <v>7.7593643204450569</v>
      </c>
      <c r="H30" s="1035" t="s">
        <v>740</v>
      </c>
      <c r="I30" s="1087">
        <f t="shared" ref="I30:I31" si="12">C30*E30*G30*365</f>
        <v>119744062.06597221</v>
      </c>
      <c r="J30" s="1035" t="s">
        <v>755</v>
      </c>
      <c r="K30" s="1090">
        <v>0.24</v>
      </c>
      <c r="L30" s="1091" t="s">
        <v>755</v>
      </c>
      <c r="M30" s="1093">
        <v>0.11665927034202894</v>
      </c>
      <c r="N30" s="1091" t="s">
        <v>740</v>
      </c>
      <c r="O30" s="1087">
        <f t="shared" ref="O30:O31" si="13">(I30*K30)*M30</f>
        <v>3352621.1780176666</v>
      </c>
      <c r="P30" s="1035" t="s">
        <v>740</v>
      </c>
      <c r="Q30" s="1097">
        <f t="shared" ref="Q30:Q31" si="14">O30*0.000662</f>
        <v>2219.4352198476954</v>
      </c>
      <c r="R30" s="1035" t="s">
        <v>740</v>
      </c>
      <c r="S30" s="1098">
        <f t="shared" ref="S30:S31" si="15">Q30/1000000</f>
        <v>2.2194352198476952E-3</v>
      </c>
      <c r="T30" s="1100" t="s">
        <v>740</v>
      </c>
      <c r="U30" s="1098">
        <f t="shared" ref="U30:U31" si="16">(S30*$Z$7)*12/44</f>
        <v>1.688788435465928E-2</v>
      </c>
      <c r="V30" s="1100" t="s">
        <v>740</v>
      </c>
      <c r="W30" s="1098">
        <f t="shared" ref="W30:W31" si="17">U30/(12/44)</f>
        <v>6.19222426337507E-2</v>
      </c>
    </row>
    <row r="31" spans="2:23" ht="11.25" customHeight="1" x14ac:dyDescent="0.2">
      <c r="B31" s="5" t="s">
        <v>1000</v>
      </c>
      <c r="C31" s="1084">
        <v>30</v>
      </c>
      <c r="D31" s="1035" t="s">
        <v>755</v>
      </c>
      <c r="E31" s="1085">
        <v>476</v>
      </c>
      <c r="F31" s="1035" t="s">
        <v>755</v>
      </c>
      <c r="G31" s="1040">
        <v>6.6952291393811194</v>
      </c>
      <c r="H31" s="1035" t="s">
        <v>740</v>
      </c>
      <c r="I31" s="1087">
        <f t="shared" si="12"/>
        <v>34896873.320282273</v>
      </c>
      <c r="J31" s="1035" t="s">
        <v>755</v>
      </c>
      <c r="K31" s="1090">
        <v>0.17</v>
      </c>
      <c r="L31" s="1091" t="s">
        <v>755</v>
      </c>
      <c r="M31" s="1093">
        <v>1.2415102875984794E-2</v>
      </c>
      <c r="N31" s="1091" t="s">
        <v>740</v>
      </c>
      <c r="O31" s="1087">
        <f t="shared" si="13"/>
        <v>73652.206294657299</v>
      </c>
      <c r="P31" s="1035" t="s">
        <v>740</v>
      </c>
      <c r="Q31" s="1097">
        <f t="shared" si="14"/>
        <v>48.757760567063137</v>
      </c>
      <c r="R31" s="1035" t="s">
        <v>740</v>
      </c>
      <c r="S31" s="1098">
        <f t="shared" si="15"/>
        <v>4.875776056706314E-5</v>
      </c>
      <c r="T31" s="1100" t="s">
        <v>740</v>
      </c>
      <c r="U31" s="1098">
        <f t="shared" si="16"/>
        <v>3.7100223267847138E-4</v>
      </c>
      <c r="V31" s="1100" t="s">
        <v>740</v>
      </c>
      <c r="W31" s="1098">
        <f t="shared" si="17"/>
        <v>1.3603415198210618E-3</v>
      </c>
    </row>
    <row r="32" spans="2:23" ht="11.25" customHeight="1" x14ac:dyDescent="0.2">
      <c r="B32" s="1077" t="s">
        <v>1003</v>
      </c>
      <c r="C32" s="1115"/>
      <c r="D32" s="1035"/>
      <c r="E32" s="1116"/>
      <c r="F32" s="1035"/>
      <c r="G32" s="1118"/>
      <c r="H32" s="1035"/>
      <c r="I32" s="1120"/>
      <c r="J32" s="1035"/>
      <c r="K32" s="1124"/>
      <c r="L32" s="1035"/>
      <c r="M32" s="1035"/>
      <c r="N32" s="1035"/>
      <c r="O32" s="1125"/>
      <c r="P32" s="1035"/>
      <c r="Q32" s="341"/>
      <c r="R32" s="1035"/>
      <c r="S32" s="1127"/>
      <c r="T32" s="1035"/>
      <c r="U32" s="1127"/>
      <c r="V32" s="1035"/>
      <c r="W32" s="1127"/>
    </row>
    <row r="33" spans="2:23" ht="11.25" customHeight="1" x14ac:dyDescent="0.2">
      <c r="B33" s="5" t="s">
        <v>1008</v>
      </c>
      <c r="C33" s="1128">
        <v>3.9119999999999999</v>
      </c>
      <c r="D33" s="1035" t="s">
        <v>755</v>
      </c>
      <c r="E33" s="1085">
        <v>420</v>
      </c>
      <c r="F33" s="1035" t="s">
        <v>755</v>
      </c>
      <c r="G33" s="1040">
        <v>3.4985074354695973</v>
      </c>
      <c r="H33" s="1035" t="s">
        <v>740</v>
      </c>
      <c r="I33" s="1087">
        <f t="shared" ref="I33:I40" si="18">C33*E33*G33*365</f>
        <v>2098088.4947224981</v>
      </c>
      <c r="J33" s="1035" t="s">
        <v>755</v>
      </c>
      <c r="K33" s="1131">
        <v>0.33</v>
      </c>
      <c r="L33" s="1035" t="s">
        <v>755</v>
      </c>
      <c r="M33" s="1093">
        <v>1.3058095817636893E-2</v>
      </c>
      <c r="N33" s="1035" t="s">
        <v>740</v>
      </c>
      <c r="O33" s="1087">
        <f t="shared" ref="O33:O40" si="19">(I33*K33)*M33</f>
        <v>9041.0233973294198</v>
      </c>
      <c r="P33" s="1035" t="s">
        <v>740</v>
      </c>
      <c r="Q33" s="1097">
        <f t="shared" ref="Q33:Q40" si="20">O33*0.000662</f>
        <v>5.9851574890320762</v>
      </c>
      <c r="R33" s="1134" t="s">
        <v>740</v>
      </c>
      <c r="S33" s="1098">
        <f t="shared" ref="S33:S40" si="21">Q33/1000000</f>
        <v>5.9851574890320764E-6</v>
      </c>
      <c r="T33" s="1134" t="s">
        <v>740</v>
      </c>
      <c r="U33" s="1098">
        <f t="shared" ref="U33:U40" si="22">(S33*$Z$7)*12/44</f>
        <v>4.5541607439271344E-5</v>
      </c>
      <c r="V33" s="1134" t="s">
        <v>740</v>
      </c>
      <c r="W33" s="1098">
        <f t="shared" ref="W33:W40" si="23">U33/(12/44)</f>
        <v>1.6698589394399495E-4</v>
      </c>
    </row>
    <row r="34" spans="2:23" ht="11.25" customHeight="1" x14ac:dyDescent="0.2">
      <c r="B34" s="5" t="s">
        <v>1009</v>
      </c>
      <c r="C34" s="1128">
        <v>7.3949999999999996</v>
      </c>
      <c r="D34" s="1035" t="s">
        <v>755</v>
      </c>
      <c r="E34" s="1085">
        <v>420</v>
      </c>
      <c r="F34" s="1035" t="s">
        <v>755</v>
      </c>
      <c r="G34" s="1040">
        <v>3.1748040407958564</v>
      </c>
      <c r="H34" s="1035" t="s">
        <v>740</v>
      </c>
      <c r="I34" s="1087">
        <f t="shared" si="18"/>
        <v>3599127.7126623648</v>
      </c>
      <c r="J34" s="1035" t="s">
        <v>755</v>
      </c>
      <c r="K34" s="1131">
        <v>0.33</v>
      </c>
      <c r="L34" s="1035" t="s">
        <v>755</v>
      </c>
      <c r="M34" s="1093">
        <v>1.2961076918545806E-2</v>
      </c>
      <c r="N34" s="1035" t="s">
        <v>740</v>
      </c>
      <c r="O34" s="1087">
        <f t="shared" si="19"/>
        <v>15394.028470750623</v>
      </c>
      <c r="P34" s="1035" t="s">
        <v>740</v>
      </c>
      <c r="Q34" s="1097">
        <f t="shared" si="20"/>
        <v>10.190846847636914</v>
      </c>
      <c r="R34" s="1134" t="s">
        <v>740</v>
      </c>
      <c r="S34" s="1098">
        <f t="shared" si="21"/>
        <v>1.0190846847636914E-5</v>
      </c>
      <c r="T34" s="1134" t="s">
        <v>740</v>
      </c>
      <c r="U34" s="1098">
        <f t="shared" si="22"/>
        <v>7.7543080104291784E-5</v>
      </c>
      <c r="V34" s="1134" t="s">
        <v>740</v>
      </c>
      <c r="W34" s="1098">
        <f t="shared" si="23"/>
        <v>2.8432462704906992E-4</v>
      </c>
    </row>
    <row r="35" spans="2:23" ht="11.25" customHeight="1" x14ac:dyDescent="0.2">
      <c r="B35" s="5" t="s">
        <v>1010</v>
      </c>
      <c r="C35" s="1128">
        <v>3</v>
      </c>
      <c r="D35" s="1035" t="s">
        <v>755</v>
      </c>
      <c r="E35" s="1085">
        <v>750</v>
      </c>
      <c r="F35" s="1035" t="s">
        <v>755</v>
      </c>
      <c r="G35" s="1040">
        <v>6.04</v>
      </c>
      <c r="H35" s="1035" t="s">
        <v>740</v>
      </c>
      <c r="I35" s="1087">
        <f t="shared" si="18"/>
        <v>4960350</v>
      </c>
      <c r="J35" s="1035" t="s">
        <v>755</v>
      </c>
      <c r="K35" s="1136">
        <v>0.17</v>
      </c>
      <c r="L35" s="1035" t="s">
        <v>755</v>
      </c>
      <c r="M35" s="1093">
        <v>1.0999999999999999E-2</v>
      </c>
      <c r="N35" s="1035" t="s">
        <v>740</v>
      </c>
      <c r="O35" s="1087">
        <f t="shared" si="19"/>
        <v>9275.8545000000013</v>
      </c>
      <c r="P35" s="1035" t="s">
        <v>740</v>
      </c>
      <c r="Q35" s="1097">
        <f t="shared" si="20"/>
        <v>6.1406156790000015</v>
      </c>
      <c r="R35" s="1134" t="s">
        <v>740</v>
      </c>
      <c r="S35" s="1098">
        <f t="shared" si="21"/>
        <v>6.1406156790000016E-6</v>
      </c>
      <c r="T35" s="1134" t="s">
        <v>740</v>
      </c>
      <c r="U35" s="1098">
        <f t="shared" si="22"/>
        <v>4.6724502939300018E-5</v>
      </c>
      <c r="V35" s="1134" t="s">
        <v>740</v>
      </c>
      <c r="W35" s="1098">
        <f t="shared" si="23"/>
        <v>1.7132317744410008E-4</v>
      </c>
    </row>
    <row r="36" spans="2:23" ht="11.25" customHeight="1" x14ac:dyDescent="0.2">
      <c r="B36" s="5" t="s">
        <v>1058</v>
      </c>
      <c r="C36" s="1084">
        <v>37</v>
      </c>
      <c r="D36" s="1035" t="s">
        <v>755</v>
      </c>
      <c r="E36" s="1085">
        <v>118</v>
      </c>
      <c r="F36" s="1035" t="s">
        <v>755</v>
      </c>
      <c r="G36" s="1040">
        <v>6.41</v>
      </c>
      <c r="H36" s="1035" t="s">
        <v>740</v>
      </c>
      <c r="I36" s="1087">
        <f t="shared" si="18"/>
        <v>10214911.9</v>
      </c>
      <c r="J36" s="1035" t="s">
        <v>755</v>
      </c>
      <c r="K36" s="1136">
        <v>0.17</v>
      </c>
      <c r="L36" s="1035" t="s">
        <v>755</v>
      </c>
      <c r="M36" s="1093">
        <v>1.0999999999999999E-2</v>
      </c>
      <c r="N36" s="1035" t="s">
        <v>740</v>
      </c>
      <c r="O36" s="1087">
        <f t="shared" si="19"/>
        <v>19101.885253</v>
      </c>
      <c r="P36" s="1035" t="s">
        <v>740</v>
      </c>
      <c r="Q36" s="1097">
        <f t="shared" si="20"/>
        <v>12.645448037486002</v>
      </c>
      <c r="R36" s="1134" t="s">
        <v>740</v>
      </c>
      <c r="S36" s="1098">
        <f t="shared" si="21"/>
        <v>1.2645448037486003E-5</v>
      </c>
      <c r="T36" s="1134" t="s">
        <v>740</v>
      </c>
      <c r="U36" s="1098">
        <f t="shared" si="22"/>
        <v>9.6220363703416231E-5</v>
      </c>
      <c r="V36" s="1134" t="s">
        <v>740</v>
      </c>
      <c r="W36" s="1098">
        <f t="shared" si="23"/>
        <v>3.5280800024585951E-4</v>
      </c>
    </row>
    <row r="37" spans="2:23" ht="11.25" customHeight="1" x14ac:dyDescent="0.2">
      <c r="B37" s="5" t="s">
        <v>1004</v>
      </c>
      <c r="C37" s="1139">
        <v>49</v>
      </c>
      <c r="D37" s="1035" t="s">
        <v>755</v>
      </c>
      <c r="E37" s="1085">
        <v>533</v>
      </c>
      <c r="F37" s="1035" t="s">
        <v>755</v>
      </c>
      <c r="G37" s="1040">
        <v>6.9170914509065149</v>
      </c>
      <c r="H37" s="1035" t="s">
        <v>740</v>
      </c>
      <c r="I37" s="1087">
        <f t="shared" si="18"/>
        <v>65938592.259513788</v>
      </c>
      <c r="J37" s="1035" t="s">
        <v>755</v>
      </c>
      <c r="K37" s="1136">
        <v>0.17</v>
      </c>
      <c r="L37" s="1035" t="s">
        <v>755</v>
      </c>
      <c r="M37" s="1093">
        <v>1.0999999999999999E-2</v>
      </c>
      <c r="N37" s="1035" t="s">
        <v>740</v>
      </c>
      <c r="O37" s="1087">
        <f t="shared" si="19"/>
        <v>123305.16752529079</v>
      </c>
      <c r="P37" s="1035" t="s">
        <v>740</v>
      </c>
      <c r="Q37" s="1097">
        <f t="shared" si="20"/>
        <v>81.628020901742502</v>
      </c>
      <c r="R37" s="1134" t="s">
        <v>740</v>
      </c>
      <c r="S37" s="1098">
        <f t="shared" si="21"/>
        <v>8.1628020901742507E-5</v>
      </c>
      <c r="T37" s="1134" t="s">
        <v>740</v>
      </c>
      <c r="U37" s="1098">
        <f t="shared" si="22"/>
        <v>6.2111503177053162E-4</v>
      </c>
      <c r="V37" s="1134" t="s">
        <v>740</v>
      </c>
      <c r="W37" s="1098">
        <f t="shared" si="23"/>
        <v>2.277421783158616E-3</v>
      </c>
    </row>
    <row r="38" spans="2:23" ht="11.25" customHeight="1" x14ac:dyDescent="0.2">
      <c r="B38" s="5" t="s">
        <v>1005</v>
      </c>
      <c r="C38" s="1139">
        <v>13</v>
      </c>
      <c r="D38" s="1035" t="s">
        <v>755</v>
      </c>
      <c r="E38" s="1085">
        <v>420</v>
      </c>
      <c r="F38" s="1035" t="s">
        <v>755</v>
      </c>
      <c r="G38" s="1040">
        <v>7.48802808883105</v>
      </c>
      <c r="H38" s="1035" t="s">
        <v>740</v>
      </c>
      <c r="I38" s="1087">
        <f t="shared" si="18"/>
        <v>14922891.178231398</v>
      </c>
      <c r="J38" s="1035" t="s">
        <v>755</v>
      </c>
      <c r="K38" s="1136">
        <v>0.17</v>
      </c>
      <c r="L38" s="1035" t="s">
        <v>755</v>
      </c>
      <c r="M38" s="1093">
        <v>1.0999999999999999E-2</v>
      </c>
      <c r="N38" s="1035" t="s">
        <v>740</v>
      </c>
      <c r="O38" s="1087">
        <f t="shared" si="19"/>
        <v>27905.806503292715</v>
      </c>
      <c r="P38" s="1035" t="s">
        <v>740</v>
      </c>
      <c r="Q38" s="1097">
        <f t="shared" si="20"/>
        <v>18.473643905179777</v>
      </c>
      <c r="R38" s="1134" t="s">
        <v>740</v>
      </c>
      <c r="S38" s="1098">
        <f t="shared" si="21"/>
        <v>1.8473643905179777E-5</v>
      </c>
      <c r="T38" s="1134" t="s">
        <v>740</v>
      </c>
      <c r="U38" s="1098">
        <f t="shared" si="22"/>
        <v>1.4056763589668611E-4</v>
      </c>
      <c r="V38" s="1134" t="s">
        <v>740</v>
      </c>
      <c r="W38" s="1098">
        <f t="shared" si="23"/>
        <v>5.1541466495451578E-4</v>
      </c>
    </row>
    <row r="39" spans="2:23" ht="11.25" customHeight="1" x14ac:dyDescent="0.2">
      <c r="B39" s="5" t="s">
        <v>1007</v>
      </c>
      <c r="C39" s="1146">
        <v>18</v>
      </c>
      <c r="D39" s="1035" t="s">
        <v>755</v>
      </c>
      <c r="E39" s="1085">
        <v>318</v>
      </c>
      <c r="F39" s="1035" t="s">
        <v>755</v>
      </c>
      <c r="G39" s="1040">
        <v>7.9391090838300862</v>
      </c>
      <c r="H39" s="1035" t="s">
        <v>740</v>
      </c>
      <c r="I39" s="1087">
        <f t="shared" si="18"/>
        <v>16586863.044482848</v>
      </c>
      <c r="J39" s="1035" t="s">
        <v>755</v>
      </c>
      <c r="K39" s="1136">
        <v>0.17</v>
      </c>
      <c r="L39" s="1035" t="s">
        <v>755</v>
      </c>
      <c r="M39" s="1093">
        <v>1.0999999999999999E-2</v>
      </c>
      <c r="N39" s="1035" t="s">
        <v>740</v>
      </c>
      <c r="O39" s="1087">
        <f t="shared" si="19"/>
        <v>31017.433893182922</v>
      </c>
      <c r="P39" s="1134" t="s">
        <v>740</v>
      </c>
      <c r="Q39" s="1097">
        <f t="shared" si="20"/>
        <v>20.533541237287096</v>
      </c>
      <c r="R39" s="1134" t="s">
        <v>740</v>
      </c>
      <c r="S39" s="1098">
        <f t="shared" si="21"/>
        <v>2.0533541237287096E-5</v>
      </c>
      <c r="T39" s="1134" t="s">
        <v>740</v>
      </c>
      <c r="U39" s="1098">
        <f t="shared" si="22"/>
        <v>1.5624158196008453E-4</v>
      </c>
      <c r="V39" s="1134" t="s">
        <v>740</v>
      </c>
      <c r="W39" s="1098">
        <f t="shared" si="23"/>
        <v>5.7288580052030995E-4</v>
      </c>
    </row>
    <row r="40" spans="2:23" ht="11.25" customHeight="1" x14ac:dyDescent="0.2">
      <c r="B40" s="5" t="s">
        <v>1006</v>
      </c>
      <c r="C40" s="1139">
        <v>10</v>
      </c>
      <c r="D40" s="1035" t="s">
        <v>755</v>
      </c>
      <c r="E40" s="1085">
        <v>420</v>
      </c>
      <c r="F40" s="1035" t="s">
        <v>755</v>
      </c>
      <c r="G40" s="1040">
        <v>8.3348602459430108</v>
      </c>
      <c r="H40" s="1035" t="s">
        <v>740</v>
      </c>
      <c r="I40" s="1087">
        <f t="shared" si="18"/>
        <v>12777340.757030636</v>
      </c>
      <c r="J40" s="1035" t="s">
        <v>755</v>
      </c>
      <c r="K40" s="1090">
        <v>0.17</v>
      </c>
      <c r="L40" s="1035" t="s">
        <v>755</v>
      </c>
      <c r="M40" s="1093">
        <v>1.0999999999999999E-2</v>
      </c>
      <c r="N40" s="1035" t="s">
        <v>740</v>
      </c>
      <c r="O40" s="1087">
        <f t="shared" si="19"/>
        <v>23893.627215647291</v>
      </c>
      <c r="P40" s="1035" t="s">
        <v>740</v>
      </c>
      <c r="Q40" s="1097">
        <f t="shared" si="20"/>
        <v>15.817581216758509</v>
      </c>
      <c r="R40" s="1134" t="s">
        <v>740</v>
      </c>
      <c r="S40" s="1098">
        <f t="shared" si="21"/>
        <v>1.581758121675851E-5</v>
      </c>
      <c r="T40" s="1134" t="s">
        <v>740</v>
      </c>
      <c r="U40" s="1098">
        <f t="shared" si="22"/>
        <v>1.2035741344024429E-4</v>
      </c>
      <c r="V40" s="1134" t="s">
        <v>740</v>
      </c>
      <c r="W40" s="1098">
        <f t="shared" si="23"/>
        <v>4.4131051594756244E-4</v>
      </c>
    </row>
    <row r="41" spans="2:23" ht="11.25" customHeight="1" x14ac:dyDescent="0.2">
      <c r="B41" s="1077" t="s">
        <v>1013</v>
      </c>
      <c r="C41" s="1115"/>
      <c r="D41" s="1035"/>
      <c r="E41" s="1116"/>
      <c r="F41" s="1035"/>
      <c r="G41" s="1118"/>
      <c r="H41" s="1035"/>
      <c r="I41" s="1120"/>
      <c r="J41" s="1035"/>
      <c r="K41" s="1124"/>
      <c r="L41" s="1035"/>
      <c r="M41" s="1035"/>
      <c r="N41" s="1035"/>
      <c r="O41" s="1125"/>
      <c r="P41" s="1035"/>
      <c r="Q41" s="341"/>
      <c r="R41" s="1134"/>
      <c r="S41" s="1127"/>
      <c r="T41" s="1134"/>
      <c r="U41" s="1127"/>
      <c r="V41" s="1134"/>
      <c r="W41" s="1127"/>
    </row>
    <row r="42" spans="2:23" ht="11.25" customHeight="1" x14ac:dyDescent="0.2">
      <c r="B42" s="5" t="s">
        <v>1063</v>
      </c>
      <c r="C42" s="1128">
        <v>6</v>
      </c>
      <c r="D42" s="1035" t="s">
        <v>755</v>
      </c>
      <c r="E42" s="1085">
        <v>198</v>
      </c>
      <c r="F42" s="1035" t="s">
        <v>755</v>
      </c>
      <c r="G42" s="1040">
        <v>2.6</v>
      </c>
      <c r="H42" s="1035" t="s">
        <v>740</v>
      </c>
      <c r="I42" s="1087">
        <f t="shared" ref="I42:I46" si="24">C42*E42*G42*365</f>
        <v>1127412</v>
      </c>
      <c r="J42" s="1035" t="s">
        <v>755</v>
      </c>
      <c r="K42" s="1131">
        <v>0.48</v>
      </c>
      <c r="L42" s="1035" t="s">
        <v>755</v>
      </c>
      <c r="M42" s="1093">
        <v>0.29615215683717488</v>
      </c>
      <c r="N42" s="1035" t="s">
        <v>740</v>
      </c>
      <c r="O42" s="1087">
        <f t="shared" ref="O42:O46" si="25">(I42*K42)*M42</f>
        <v>160265.03781317425</v>
      </c>
      <c r="P42" s="1035" t="s">
        <v>740</v>
      </c>
      <c r="Q42" s="1097">
        <f t="shared" ref="Q42:Q46" si="26">O42*0.000662</f>
        <v>106.09545503232135</v>
      </c>
      <c r="R42" s="1035" t="s">
        <v>740</v>
      </c>
      <c r="S42" s="1098">
        <f t="shared" ref="S42:S46" si="27">Q42/1000000</f>
        <v>1.0609545503232136E-4</v>
      </c>
      <c r="T42" s="1035" t="s">
        <v>740</v>
      </c>
      <c r="U42" s="1098">
        <f t="shared" ref="U42:U46" si="28">(S42*$Z$7)*12/44</f>
        <v>8.0728996238229971E-4</v>
      </c>
      <c r="V42" s="1035" t="s">
        <v>740</v>
      </c>
      <c r="W42" s="1098">
        <f t="shared" ref="W42:W46" si="29">U42/(12/44)</f>
        <v>2.9600631954017657E-3</v>
      </c>
    </row>
    <row r="43" spans="2:23" ht="11.25" customHeight="1" x14ac:dyDescent="0.2">
      <c r="B43" s="5" t="s">
        <v>1064</v>
      </c>
      <c r="C43" s="1084">
        <v>10</v>
      </c>
      <c r="D43" s="1035" t="s">
        <v>755</v>
      </c>
      <c r="E43" s="1085">
        <v>15.88</v>
      </c>
      <c r="F43" s="1035" t="s">
        <v>755</v>
      </c>
      <c r="G43" s="1040">
        <v>8.8000000000000007</v>
      </c>
      <c r="H43" s="1035" t="s">
        <v>740</v>
      </c>
      <c r="I43" s="1087">
        <f t="shared" si="24"/>
        <v>510065.60000000009</v>
      </c>
      <c r="J43" s="1035" t="s">
        <v>755</v>
      </c>
      <c r="K43" s="1090">
        <v>0.48</v>
      </c>
      <c r="L43" s="1035" t="s">
        <v>755</v>
      </c>
      <c r="M43" s="1093">
        <v>0.29664167888686049</v>
      </c>
      <c r="N43" s="1035" t="s">
        <v>740</v>
      </c>
      <c r="O43" s="1087">
        <f t="shared" si="25"/>
        <v>72627.223644688245</v>
      </c>
      <c r="P43" s="1035" t="s">
        <v>740</v>
      </c>
      <c r="Q43" s="1097">
        <f t="shared" si="26"/>
        <v>48.079222052783621</v>
      </c>
      <c r="R43" s="1035" t="s">
        <v>740</v>
      </c>
      <c r="S43" s="1098">
        <f t="shared" si="27"/>
        <v>4.8079222052783623E-5</v>
      </c>
      <c r="T43" s="1035" t="s">
        <v>740</v>
      </c>
      <c r="U43" s="1098">
        <f t="shared" si="28"/>
        <v>3.6583917143799896E-4</v>
      </c>
      <c r="V43" s="1035" t="s">
        <v>740</v>
      </c>
      <c r="W43" s="1098">
        <f t="shared" si="29"/>
        <v>1.341410295272663E-3</v>
      </c>
    </row>
    <row r="44" spans="2:23" ht="11.25" customHeight="1" x14ac:dyDescent="0.2">
      <c r="B44" s="5" t="s">
        <v>1065</v>
      </c>
      <c r="C44" s="1084">
        <v>6</v>
      </c>
      <c r="D44" s="1035" t="s">
        <v>755</v>
      </c>
      <c r="E44" s="1085">
        <v>40.6</v>
      </c>
      <c r="F44" s="1035" t="s">
        <v>755</v>
      </c>
      <c r="G44" s="1040">
        <v>5.4</v>
      </c>
      <c r="H44" s="1035" t="s">
        <v>740</v>
      </c>
      <c r="I44" s="1087">
        <f t="shared" si="24"/>
        <v>480135.60000000009</v>
      </c>
      <c r="J44" s="1035" t="s">
        <v>755</v>
      </c>
      <c r="K44" s="1090">
        <v>0.48</v>
      </c>
      <c r="L44" s="1035" t="s">
        <v>755</v>
      </c>
      <c r="M44" s="1093">
        <v>0.29664167888686049</v>
      </c>
      <c r="N44" s="1035" t="s">
        <v>740</v>
      </c>
      <c r="O44" s="1087">
        <f t="shared" si="25"/>
        <v>68365.550629128062</v>
      </c>
      <c r="P44" s="1035" t="s">
        <v>740</v>
      </c>
      <c r="Q44" s="1097">
        <f t="shared" si="26"/>
        <v>45.257994516482782</v>
      </c>
      <c r="R44" s="1035" t="s">
        <v>740</v>
      </c>
      <c r="S44" s="1098">
        <f t="shared" si="27"/>
        <v>4.5257994516482781E-5</v>
      </c>
      <c r="T44" s="1035" t="s">
        <v>740</v>
      </c>
      <c r="U44" s="1098">
        <f t="shared" si="28"/>
        <v>3.4437219463905532E-4</v>
      </c>
      <c r="V44" s="1035" t="s">
        <v>740</v>
      </c>
      <c r="W44" s="1098">
        <f t="shared" si="29"/>
        <v>1.2626980470098696E-3</v>
      </c>
    </row>
    <row r="45" spans="2:23" ht="11.25" customHeight="1" x14ac:dyDescent="0.2">
      <c r="B45" s="5" t="s">
        <v>1067</v>
      </c>
      <c r="C45" s="1084">
        <v>7</v>
      </c>
      <c r="D45" s="1035" t="s">
        <v>755</v>
      </c>
      <c r="E45" s="1085">
        <v>67.819999999999993</v>
      </c>
      <c r="F45" s="1035" t="s">
        <v>755</v>
      </c>
      <c r="G45" s="1040">
        <v>5.4</v>
      </c>
      <c r="H45" s="1035" t="s">
        <v>740</v>
      </c>
      <c r="I45" s="1087">
        <f t="shared" si="24"/>
        <v>935712.54</v>
      </c>
      <c r="J45" s="1035" t="s">
        <v>755</v>
      </c>
      <c r="K45" s="1090">
        <v>0.48</v>
      </c>
      <c r="L45" s="1035" t="s">
        <v>755</v>
      </c>
      <c r="M45" s="1093">
        <v>0.29664167888686049</v>
      </c>
      <c r="N45" s="1035" t="s">
        <v>740</v>
      </c>
      <c r="O45" s="1087">
        <f t="shared" si="25"/>
        <v>133234.24263412252</v>
      </c>
      <c r="P45" s="1035" t="s">
        <v>740</v>
      </c>
      <c r="Q45" s="1097">
        <f t="shared" si="26"/>
        <v>88.201068623789112</v>
      </c>
      <c r="R45" s="1035" t="s">
        <v>740</v>
      </c>
      <c r="S45" s="1098">
        <f t="shared" si="27"/>
        <v>8.820106862378911E-5</v>
      </c>
      <c r="T45" s="1035" t="s">
        <v>740</v>
      </c>
      <c r="U45" s="1098">
        <f t="shared" si="28"/>
        <v>6.7112994943737715E-4</v>
      </c>
      <c r="V45" s="1035" t="s">
        <v>740</v>
      </c>
      <c r="W45" s="1098">
        <f t="shared" si="29"/>
        <v>2.4608098146037165E-3</v>
      </c>
    </row>
    <row r="46" spans="2:23" ht="11.25" customHeight="1" x14ac:dyDescent="0.2">
      <c r="B46" s="5" t="s">
        <v>1069</v>
      </c>
      <c r="C46" s="1084">
        <v>4</v>
      </c>
      <c r="D46" s="1035" t="s">
        <v>755</v>
      </c>
      <c r="E46" s="1085">
        <v>90.75</v>
      </c>
      <c r="F46" s="1035" t="s">
        <v>755</v>
      </c>
      <c r="G46" s="1040">
        <v>5.4</v>
      </c>
      <c r="H46" s="1035" t="s">
        <v>740</v>
      </c>
      <c r="I46" s="1087">
        <f t="shared" si="24"/>
        <v>715473</v>
      </c>
      <c r="J46" s="1035" t="s">
        <v>755</v>
      </c>
      <c r="K46" s="1090">
        <v>0.48</v>
      </c>
      <c r="L46" s="1035" t="s">
        <v>755</v>
      </c>
      <c r="M46" s="1093">
        <v>0.29664167888686049</v>
      </c>
      <c r="N46" s="1035" t="s">
        <v>740</v>
      </c>
      <c r="O46" s="1087">
        <f t="shared" si="25"/>
        <v>101874.77372074498</v>
      </c>
      <c r="P46" s="1035" t="s">
        <v>740</v>
      </c>
      <c r="Q46" s="1097">
        <f t="shared" si="26"/>
        <v>67.441100203133189</v>
      </c>
      <c r="R46" s="1035" t="s">
        <v>740</v>
      </c>
      <c r="S46" s="1098">
        <f t="shared" si="27"/>
        <v>6.7441100203133192E-5</v>
      </c>
      <c r="T46" s="1035" t="s">
        <v>740</v>
      </c>
      <c r="U46" s="1098">
        <f t="shared" si="28"/>
        <v>5.1316546245474973E-4</v>
      </c>
      <c r="V46" s="1035" t="s">
        <v>740</v>
      </c>
      <c r="W46" s="1098">
        <f t="shared" si="29"/>
        <v>1.8816066956674159E-3</v>
      </c>
    </row>
    <row r="47" spans="2:23" ht="11.25" customHeight="1" x14ac:dyDescent="0.2">
      <c r="B47" s="1077" t="s">
        <v>1072</v>
      </c>
      <c r="C47" s="1154"/>
      <c r="D47" s="1035"/>
      <c r="E47" s="1116"/>
      <c r="F47" s="1035"/>
      <c r="G47" s="1035"/>
      <c r="H47" s="1035"/>
      <c r="I47" s="1155"/>
      <c r="J47" s="1035"/>
      <c r="K47" s="1156"/>
      <c r="L47" s="1035"/>
      <c r="M47" s="1157"/>
      <c r="N47" s="1035"/>
      <c r="O47" s="1125"/>
      <c r="P47" s="1035"/>
      <c r="Q47" s="341"/>
      <c r="R47" s="1035"/>
      <c r="S47" s="1127"/>
      <c r="T47" s="1035"/>
      <c r="U47" s="1127"/>
      <c r="V47" s="1035"/>
      <c r="W47" s="1127"/>
    </row>
    <row r="48" spans="2:23" ht="11.25" customHeight="1" x14ac:dyDescent="0.2">
      <c r="B48" s="5" t="s">
        <v>1076</v>
      </c>
      <c r="C48" s="1162"/>
      <c r="D48" s="1163"/>
      <c r="E48" s="1162"/>
      <c r="F48" s="1163"/>
      <c r="G48" s="1164"/>
      <c r="H48" s="1163"/>
      <c r="I48" s="1166"/>
      <c r="J48" s="1163"/>
      <c r="K48" s="1167"/>
      <c r="L48" s="1163"/>
      <c r="M48" s="1168"/>
      <c r="N48" s="1163"/>
      <c r="O48" s="1166"/>
      <c r="P48" s="1163"/>
      <c r="Q48" s="1170"/>
      <c r="R48" s="1163"/>
      <c r="S48" s="1172"/>
      <c r="T48" s="1163"/>
      <c r="U48" s="1172"/>
      <c r="V48" s="1163"/>
      <c r="W48" s="1172"/>
    </row>
    <row r="49" spans="2:23" ht="11.25" customHeight="1" x14ac:dyDescent="0.2">
      <c r="B49" s="5" t="s">
        <v>1098</v>
      </c>
      <c r="C49" s="1128">
        <v>2560</v>
      </c>
      <c r="D49" s="1035" t="s">
        <v>755</v>
      </c>
      <c r="E49" s="1085">
        <v>1.8</v>
      </c>
      <c r="F49" s="1035" t="s">
        <v>755</v>
      </c>
      <c r="G49" s="883">
        <v>10.8</v>
      </c>
      <c r="H49" s="1035" t="s">
        <v>740</v>
      </c>
      <c r="I49" s="1087">
        <f t="shared" ref="I49:I53" si="30">C49*E49*G49*365</f>
        <v>18164736</v>
      </c>
      <c r="J49" s="1035" t="s">
        <v>755</v>
      </c>
      <c r="K49" s="1131">
        <v>0.39</v>
      </c>
      <c r="L49" s="1035" t="s">
        <v>755</v>
      </c>
      <c r="M49" s="1093">
        <v>5.0976002349833779E-2</v>
      </c>
      <c r="N49" s="1035" t="s">
        <v>740</v>
      </c>
      <c r="O49" s="1087">
        <f t="shared" ref="O49:O53" si="31">(I49*K49)*M49</f>
        <v>361126.59375784302</v>
      </c>
      <c r="P49" s="1035" t="s">
        <v>740</v>
      </c>
      <c r="Q49" s="1097">
        <f t="shared" ref="Q49:Q53" si="32">O49*0.000662</f>
        <v>239.06580506769208</v>
      </c>
      <c r="R49" s="1035" t="s">
        <v>740</v>
      </c>
      <c r="S49" s="1098">
        <f t="shared" ref="S49:S53" si="33">Q49/1000000</f>
        <v>2.3906580506769209E-4</v>
      </c>
      <c r="T49" s="1035" t="s">
        <v>740</v>
      </c>
      <c r="U49" s="1098">
        <f t="shared" ref="U49:U53" si="34">(S49*$Z$7)*12/44</f>
        <v>1.8190734440150754E-3</v>
      </c>
      <c r="V49" s="1035" t="s">
        <v>740</v>
      </c>
      <c r="W49" s="1098">
        <f t="shared" ref="W49:W53" si="35">U49/(12/44)</f>
        <v>6.6699359613886103E-3</v>
      </c>
    </row>
    <row r="50" spans="2:23" ht="11.25" customHeight="1" x14ac:dyDescent="0.2">
      <c r="B50" s="5" t="s">
        <v>1100</v>
      </c>
      <c r="C50" s="1128">
        <v>938</v>
      </c>
      <c r="D50" s="1035" t="s">
        <v>755</v>
      </c>
      <c r="E50" s="1085">
        <v>1.8</v>
      </c>
      <c r="F50" s="1035" t="s">
        <v>755</v>
      </c>
      <c r="G50" s="883">
        <v>9.6999999999999993</v>
      </c>
      <c r="H50" s="1035" t="s">
        <v>740</v>
      </c>
      <c r="I50" s="1087">
        <f t="shared" si="30"/>
        <v>5977780.2000000002</v>
      </c>
      <c r="J50" s="1035" t="s">
        <v>755</v>
      </c>
      <c r="K50" s="1131">
        <v>0.39</v>
      </c>
      <c r="L50" s="1035" t="s">
        <v>755</v>
      </c>
      <c r="M50" s="1093">
        <v>5.0976002349833779E-2</v>
      </c>
      <c r="N50" s="1035" t="s">
        <v>740</v>
      </c>
      <c r="O50" s="1087">
        <f t="shared" si="31"/>
        <v>118842.10163357604</v>
      </c>
      <c r="P50" s="1035" t="s">
        <v>740</v>
      </c>
      <c r="Q50" s="1097">
        <f t="shared" si="32"/>
        <v>78.673471281427339</v>
      </c>
      <c r="R50" s="1035" t="s">
        <v>740</v>
      </c>
      <c r="S50" s="1098">
        <f t="shared" si="33"/>
        <v>7.8673471281427346E-5</v>
      </c>
      <c r="T50" s="1035" t="s">
        <v>740</v>
      </c>
      <c r="U50" s="1098">
        <f t="shared" si="34"/>
        <v>5.9863359511413354E-4</v>
      </c>
      <c r="V50" s="1035" t="s">
        <v>740</v>
      </c>
      <c r="W50" s="1098">
        <f t="shared" si="35"/>
        <v>2.1949898487518232E-3</v>
      </c>
    </row>
    <row r="51" spans="2:23" ht="11.25" customHeight="1" x14ac:dyDescent="0.2">
      <c r="B51" s="5" t="s">
        <v>1101</v>
      </c>
      <c r="C51" s="1128">
        <v>16</v>
      </c>
      <c r="D51" s="1035" t="s">
        <v>755</v>
      </c>
      <c r="E51" s="1085">
        <v>1.8</v>
      </c>
      <c r="F51" s="1035" t="s">
        <v>755</v>
      </c>
      <c r="G51" s="1040">
        <v>10.8</v>
      </c>
      <c r="H51" s="1035" t="s">
        <v>740</v>
      </c>
      <c r="I51" s="1087">
        <f t="shared" si="30"/>
        <v>113529.60000000001</v>
      </c>
      <c r="J51" s="1035" t="s">
        <v>755</v>
      </c>
      <c r="K51" s="1131">
        <v>0.39</v>
      </c>
      <c r="L51" s="1035" t="s">
        <v>755</v>
      </c>
      <c r="M51" s="1093">
        <v>5.0976002349833779E-2</v>
      </c>
      <c r="N51" s="1035" t="s">
        <v>740</v>
      </c>
      <c r="O51" s="1087">
        <f t="shared" si="31"/>
        <v>2257.0412109865188</v>
      </c>
      <c r="P51" s="1035" t="s">
        <v>740</v>
      </c>
      <c r="Q51" s="1097">
        <f t="shared" si="32"/>
        <v>1.4941612816730756</v>
      </c>
      <c r="R51" s="1035" t="s">
        <v>740</v>
      </c>
      <c r="S51" s="1098">
        <f t="shared" si="33"/>
        <v>1.4941612816730755E-6</v>
      </c>
      <c r="T51" s="1035" t="s">
        <v>740</v>
      </c>
      <c r="U51" s="1098">
        <f t="shared" si="34"/>
        <v>1.1369209025094221E-5</v>
      </c>
      <c r="V51" s="1035" t="s">
        <v>740</v>
      </c>
      <c r="W51" s="1098">
        <f t="shared" si="35"/>
        <v>4.1687099758678812E-5</v>
      </c>
    </row>
    <row r="52" spans="2:23" ht="11.25" customHeight="1" x14ac:dyDescent="0.2">
      <c r="B52" s="5" t="s">
        <v>1102</v>
      </c>
      <c r="C52" s="1128">
        <v>54090.909</v>
      </c>
      <c r="D52" s="477" t="s">
        <v>755</v>
      </c>
      <c r="E52" s="1085">
        <v>0.9</v>
      </c>
      <c r="F52" s="477" t="s">
        <v>755</v>
      </c>
      <c r="G52" s="883">
        <v>15</v>
      </c>
      <c r="H52" s="477" t="s">
        <v>740</v>
      </c>
      <c r="I52" s="1087">
        <f t="shared" si="30"/>
        <v>266532954.09750003</v>
      </c>
      <c r="J52" s="477" t="s">
        <v>755</v>
      </c>
      <c r="K52" s="1136">
        <v>0.36</v>
      </c>
      <c r="L52" s="477" t="s">
        <v>755</v>
      </c>
      <c r="M52" s="1184">
        <v>1.4999999999999999E-2</v>
      </c>
      <c r="N52" s="477" t="s">
        <v>740</v>
      </c>
      <c r="O52" s="1087">
        <f t="shared" si="31"/>
        <v>1439277.9521265002</v>
      </c>
      <c r="P52" s="1035" t="s">
        <v>740</v>
      </c>
      <c r="Q52" s="1097">
        <f t="shared" si="32"/>
        <v>952.80200430774323</v>
      </c>
      <c r="R52" s="1035" t="s">
        <v>740</v>
      </c>
      <c r="S52" s="1098">
        <f t="shared" si="33"/>
        <v>9.5280200430774328E-4</v>
      </c>
      <c r="T52" s="1035" t="s">
        <v>740</v>
      </c>
      <c r="U52" s="1098">
        <f t="shared" si="34"/>
        <v>7.249957069141646E-3</v>
      </c>
      <c r="V52" s="1035" t="s">
        <v>740</v>
      </c>
      <c r="W52" s="1098">
        <f t="shared" si="35"/>
        <v>2.6583175920186036E-2</v>
      </c>
    </row>
    <row r="53" spans="2:23" ht="11.25" customHeight="1" x14ac:dyDescent="0.2">
      <c r="B53" s="5" t="s">
        <v>1104</v>
      </c>
      <c r="C53" s="1146">
        <v>243.333</v>
      </c>
      <c r="D53" s="477" t="s">
        <v>755</v>
      </c>
      <c r="E53" s="1085">
        <v>6.8</v>
      </c>
      <c r="F53" s="477" t="s">
        <v>755</v>
      </c>
      <c r="G53" s="883">
        <v>9.6999999999999993</v>
      </c>
      <c r="H53" s="477" t="s">
        <v>740</v>
      </c>
      <c r="I53" s="1087">
        <f t="shared" si="30"/>
        <v>5858339.3081999989</v>
      </c>
      <c r="J53" s="477" t="s">
        <v>755</v>
      </c>
      <c r="K53" s="1090">
        <v>0.36</v>
      </c>
      <c r="L53" s="477" t="s">
        <v>755</v>
      </c>
      <c r="M53" s="1184">
        <v>1.4999999999999999E-2</v>
      </c>
      <c r="N53" s="477" t="s">
        <v>740</v>
      </c>
      <c r="O53" s="1087">
        <f t="shared" si="31"/>
        <v>31635.032264279995</v>
      </c>
      <c r="P53" s="1035" t="s">
        <v>740</v>
      </c>
      <c r="Q53" s="1097">
        <f t="shared" si="32"/>
        <v>20.942391358953358</v>
      </c>
      <c r="R53" s="1035" t="s">
        <v>740</v>
      </c>
      <c r="S53" s="1098">
        <f t="shared" si="33"/>
        <v>2.0942391358953359E-5</v>
      </c>
      <c r="T53" s="1035" t="s">
        <v>740</v>
      </c>
      <c r="U53" s="1098">
        <f t="shared" si="34"/>
        <v>1.5935255970403602E-4</v>
      </c>
      <c r="V53" s="1035" t="s">
        <v>740</v>
      </c>
      <c r="W53" s="1098">
        <f t="shared" si="35"/>
        <v>5.8429271891479882E-4</v>
      </c>
    </row>
    <row r="54" spans="2:23" ht="11.25" customHeight="1" x14ac:dyDescent="0.2">
      <c r="B54" s="1077" t="s">
        <v>92</v>
      </c>
      <c r="C54" s="1115"/>
      <c r="D54" s="477"/>
      <c r="E54" s="1116"/>
      <c r="F54" s="477"/>
      <c r="G54" s="1035"/>
      <c r="H54" s="477"/>
      <c r="I54" s="1120"/>
      <c r="J54" s="1035"/>
      <c r="K54" s="1124"/>
      <c r="L54" s="1035"/>
      <c r="M54" s="1157"/>
      <c r="N54" s="1035"/>
      <c r="O54" s="1125"/>
      <c r="P54" s="1035"/>
      <c r="Q54" s="341"/>
      <c r="R54" s="1035"/>
      <c r="S54" s="1127"/>
      <c r="T54" s="1035"/>
      <c r="U54" s="1127"/>
      <c r="V54" s="1035"/>
      <c r="W54" s="1127"/>
    </row>
    <row r="55" spans="2:23" ht="11.25" customHeight="1" x14ac:dyDescent="0.2">
      <c r="B55" s="1038" t="s">
        <v>1106</v>
      </c>
      <c r="C55" s="1128">
        <v>0</v>
      </c>
      <c r="D55" s="477" t="s">
        <v>755</v>
      </c>
      <c r="E55" s="1085">
        <v>27</v>
      </c>
      <c r="F55" s="477" t="s">
        <v>755</v>
      </c>
      <c r="G55" s="1040">
        <v>9.205479452054794</v>
      </c>
      <c r="H55" s="477" t="s">
        <v>740</v>
      </c>
      <c r="I55" s="1087">
        <f t="shared" ref="I55:I58" si="36">C55*E55*G55*365</f>
        <v>0</v>
      </c>
      <c r="J55" s="477" t="s">
        <v>755</v>
      </c>
      <c r="K55" s="1131">
        <v>0.36056372132540354</v>
      </c>
      <c r="L55" s="477" t="s">
        <v>755</v>
      </c>
      <c r="M55" s="1184">
        <v>1.2E-2</v>
      </c>
      <c r="N55" s="477" t="s">
        <v>740</v>
      </c>
      <c r="O55" s="1087">
        <f t="shared" ref="O55:O58" si="37">(I55*K55)*M55</f>
        <v>0</v>
      </c>
      <c r="P55" s="1035" t="s">
        <v>740</v>
      </c>
      <c r="Q55" s="1097">
        <f t="shared" ref="Q55:Q58" si="38">O55*0.000662</f>
        <v>0</v>
      </c>
      <c r="R55" s="1035" t="s">
        <v>740</v>
      </c>
      <c r="S55" s="1098">
        <f t="shared" ref="S55:S58" si="39">Q55/1000000</f>
        <v>0</v>
      </c>
      <c r="T55" s="1035" t="s">
        <v>740</v>
      </c>
      <c r="U55" s="1098">
        <f t="shared" ref="U55:U58" si="40">(S55*$Z$7)*12/44</f>
        <v>0</v>
      </c>
      <c r="V55" s="1035" t="s">
        <v>740</v>
      </c>
      <c r="W55" s="1098">
        <f t="shared" ref="W55:W58" si="41">U55/(12/44)</f>
        <v>0</v>
      </c>
    </row>
    <row r="56" spans="2:23" ht="11.25" customHeight="1" x14ac:dyDescent="0.2">
      <c r="B56" s="1038" t="s">
        <v>1116</v>
      </c>
      <c r="C56" s="1128">
        <v>22</v>
      </c>
      <c r="D56" s="477" t="s">
        <v>755</v>
      </c>
      <c r="E56" s="1085">
        <v>27</v>
      </c>
      <c r="F56" s="477" t="s">
        <v>755</v>
      </c>
      <c r="G56" s="1040">
        <v>9.205479452054794</v>
      </c>
      <c r="H56" s="477" t="s">
        <v>740</v>
      </c>
      <c r="I56" s="1087">
        <f t="shared" si="36"/>
        <v>1995840</v>
      </c>
      <c r="J56" s="477" t="s">
        <v>755</v>
      </c>
      <c r="K56" s="1131">
        <v>0.1899677145284622</v>
      </c>
      <c r="L56" s="477" t="s">
        <v>755</v>
      </c>
      <c r="M56" s="1184">
        <v>1.0999999999999999E-2</v>
      </c>
      <c r="N56" s="477" t="s">
        <v>740</v>
      </c>
      <c r="O56" s="1087">
        <f t="shared" si="37"/>
        <v>4170.5967970093461</v>
      </c>
      <c r="P56" s="1035" t="s">
        <v>740</v>
      </c>
      <c r="Q56" s="1097">
        <f t="shared" si="38"/>
        <v>2.7609350796201872</v>
      </c>
      <c r="R56" s="1035" t="s">
        <v>740</v>
      </c>
      <c r="S56" s="1098">
        <f t="shared" si="39"/>
        <v>2.7609350796201873E-6</v>
      </c>
      <c r="T56" s="1035" t="s">
        <v>740</v>
      </c>
      <c r="U56" s="1098">
        <f t="shared" si="40"/>
        <v>2.1008206014928152E-5</v>
      </c>
      <c r="V56" s="1035" t="s">
        <v>740</v>
      </c>
      <c r="W56" s="1098">
        <f t="shared" si="41"/>
        <v>7.703008872140323E-5</v>
      </c>
    </row>
    <row r="57" spans="2:23" ht="11.25" customHeight="1" x14ac:dyDescent="0.2">
      <c r="B57" s="1038" t="s">
        <v>1012</v>
      </c>
      <c r="C57" s="1139">
        <v>9.6010000000000009</v>
      </c>
      <c r="D57" s="477" t="s">
        <v>755</v>
      </c>
      <c r="E57" s="1085">
        <v>64</v>
      </c>
      <c r="F57" s="477" t="s">
        <v>755</v>
      </c>
      <c r="G57" s="1040">
        <v>9.5342465753424666</v>
      </c>
      <c r="H57" s="477" t="s">
        <v>740</v>
      </c>
      <c r="I57" s="1087">
        <f t="shared" si="36"/>
        <v>2138334.7200000007</v>
      </c>
      <c r="J57" s="477" t="s">
        <v>755</v>
      </c>
      <c r="K57" s="1136">
        <v>0.16997111299915041</v>
      </c>
      <c r="L57" s="477" t="s">
        <v>755</v>
      </c>
      <c r="M57" s="1184">
        <v>1.0999999999999999E-2</v>
      </c>
      <c r="N57" s="477" t="s">
        <v>740</v>
      </c>
      <c r="O57" s="1087">
        <f t="shared" si="37"/>
        <v>3998.0064555543945</v>
      </c>
      <c r="P57" s="1035" t="s">
        <v>740</v>
      </c>
      <c r="Q57" s="1097">
        <f t="shared" si="38"/>
        <v>2.6466802735770094</v>
      </c>
      <c r="R57" s="1035" t="s">
        <v>740</v>
      </c>
      <c r="S57" s="1098">
        <f t="shared" si="39"/>
        <v>2.6466802735770093E-6</v>
      </c>
      <c r="T57" s="1035" t="s">
        <v>740</v>
      </c>
      <c r="U57" s="1098">
        <f t="shared" si="40"/>
        <v>2.013883080894506E-5</v>
      </c>
      <c r="V57" s="1035" t="s">
        <v>740</v>
      </c>
      <c r="W57" s="1098">
        <f t="shared" si="41"/>
        <v>7.3842379632798561E-5</v>
      </c>
    </row>
    <row r="58" spans="2:23" ht="12" customHeight="1" x14ac:dyDescent="0.2">
      <c r="B58" s="1038" t="s">
        <v>1014</v>
      </c>
      <c r="C58" s="1139">
        <v>65.510999999999996</v>
      </c>
      <c r="D58" s="477" t="s">
        <v>755</v>
      </c>
      <c r="E58" s="1085">
        <v>450</v>
      </c>
      <c r="F58" s="477" t="s">
        <v>755</v>
      </c>
      <c r="G58" s="883">
        <v>10</v>
      </c>
      <c r="H58" s="477" t="s">
        <v>740</v>
      </c>
      <c r="I58" s="1087">
        <f t="shared" si="36"/>
        <v>107601817.5</v>
      </c>
      <c r="J58" s="477" t="s">
        <v>755</v>
      </c>
      <c r="K58" s="1136">
        <v>0.33056881903143587</v>
      </c>
      <c r="L58" s="477" t="s">
        <v>755</v>
      </c>
      <c r="M58" s="1184">
        <v>1.0999999999999999E-2</v>
      </c>
      <c r="N58" s="477" t="s">
        <v>740</v>
      </c>
      <c r="O58" s="1087">
        <f t="shared" si="37"/>
        <v>391267.86310272198</v>
      </c>
      <c r="P58" s="1035" t="s">
        <v>740</v>
      </c>
      <c r="Q58" s="1097">
        <f t="shared" si="38"/>
        <v>259.01932537400199</v>
      </c>
      <c r="R58" s="1035" t="s">
        <v>740</v>
      </c>
      <c r="S58" s="1098">
        <f t="shared" si="39"/>
        <v>2.5901932537400197E-4</v>
      </c>
      <c r="T58" s="1035" t="s">
        <v>740</v>
      </c>
      <c r="U58" s="1098">
        <f t="shared" si="40"/>
        <v>1.9709015939821787E-3</v>
      </c>
      <c r="V58" s="1035" t="s">
        <v>740</v>
      </c>
      <c r="W58" s="1098">
        <f t="shared" si="41"/>
        <v>7.2266391779346557E-3</v>
      </c>
    </row>
    <row r="59" spans="2:23" ht="13.5" customHeight="1" x14ac:dyDescent="0.2">
      <c r="B59" s="873" t="s">
        <v>907</v>
      </c>
      <c r="C59" s="25"/>
      <c r="D59" s="25"/>
      <c r="E59" s="1215"/>
      <c r="F59" s="25"/>
      <c r="G59" s="25"/>
      <c r="H59" s="25"/>
      <c r="I59" s="25"/>
      <c r="J59" s="1035"/>
      <c r="K59" s="1035"/>
      <c r="L59" s="1035"/>
      <c r="M59" s="1035"/>
      <c r="N59" s="1035"/>
      <c r="O59" s="1217">
        <f>SUM(O30:O58)</f>
        <v>6574150.2268611463</v>
      </c>
      <c r="P59" s="1035"/>
      <c r="Q59" s="1219">
        <f>SUM(Q30:Q58)</f>
        <v>4352.0874501820799</v>
      </c>
      <c r="R59" s="1035"/>
      <c r="S59" s="1223">
        <f>SUM(S30:S58)</f>
        <v>4.352087450182081E-3</v>
      </c>
      <c r="T59" s="1035"/>
      <c r="U59" s="1223">
        <f>SUM(U30:U58)</f>
        <v>3.3115429052749092E-2</v>
      </c>
      <c r="V59" s="25"/>
      <c r="W59" s="1223">
        <f>SUM(W30:W58)</f>
        <v>0.12142323986008002</v>
      </c>
    </row>
    <row r="60" spans="2:23" ht="12" customHeight="1" x14ac:dyDescent="0.2">
      <c r="B60" s="1061"/>
      <c r="C60" s="1062"/>
      <c r="D60" s="1063"/>
      <c r="E60" s="1063"/>
      <c r="F60" s="1063"/>
      <c r="G60" s="1064"/>
      <c r="H60" s="1065"/>
      <c r="I60" s="1066"/>
      <c r="J60" s="1065"/>
      <c r="K60" s="1067"/>
      <c r="L60" s="74"/>
      <c r="M60" s="1067"/>
      <c r="N60" s="74"/>
      <c r="O60" s="74"/>
      <c r="P60" s="74"/>
      <c r="Q60" s="74"/>
      <c r="R60" s="74"/>
      <c r="S60" s="74"/>
      <c r="T60" s="74"/>
      <c r="U60" s="74"/>
      <c r="V60" s="74"/>
      <c r="W60" s="74"/>
    </row>
    <row r="61" spans="2:23" ht="19.5" customHeight="1" x14ac:dyDescent="0.4">
      <c r="B61" s="1025" t="s">
        <v>1136</v>
      </c>
      <c r="C61" s="1068"/>
      <c r="D61" s="1069"/>
      <c r="E61" s="1069"/>
      <c r="F61" s="1035"/>
      <c r="G61" s="1070"/>
      <c r="H61" s="297"/>
      <c r="I61" s="1071"/>
      <c r="J61" s="297"/>
      <c r="K61" s="1072"/>
      <c r="M61" s="1072"/>
    </row>
    <row r="62" spans="2:23" ht="81.75" customHeight="1" x14ac:dyDescent="0.2">
      <c r="B62" s="25"/>
      <c r="C62" s="1241" t="s">
        <v>982</v>
      </c>
      <c r="D62" s="1074"/>
      <c r="E62" s="1027" t="s">
        <v>1137</v>
      </c>
      <c r="F62" s="62"/>
      <c r="G62" s="1027" t="s">
        <v>1138</v>
      </c>
      <c r="H62" s="1027"/>
      <c r="I62" s="1027" t="s">
        <v>1139</v>
      </c>
      <c r="J62" s="62"/>
      <c r="K62" s="1027" t="s">
        <v>1142</v>
      </c>
      <c r="L62" s="68"/>
      <c r="M62" s="1027" t="s">
        <v>1143</v>
      </c>
      <c r="N62" s="62"/>
      <c r="O62" s="1027" t="s">
        <v>1145</v>
      </c>
      <c r="P62" s="62"/>
      <c r="Q62" s="1027" t="s">
        <v>833</v>
      </c>
      <c r="R62" s="62"/>
      <c r="S62" s="1027" t="s">
        <v>987</v>
      </c>
      <c r="T62" s="62"/>
      <c r="U62" s="1027" t="s">
        <v>1146</v>
      </c>
    </row>
    <row r="63" spans="2:23" ht="15" customHeight="1" x14ac:dyDescent="0.3">
      <c r="B63" s="1077" t="s">
        <v>1147</v>
      </c>
      <c r="C63" s="1248"/>
      <c r="D63" s="1078"/>
      <c r="E63" s="873"/>
      <c r="F63" s="25"/>
      <c r="G63" s="25"/>
      <c r="H63" s="25"/>
      <c r="I63" s="566"/>
      <c r="J63" s="25"/>
      <c r="K63" s="25"/>
      <c r="L63" s="1215"/>
      <c r="M63" s="25"/>
      <c r="N63" s="25"/>
      <c r="O63" s="25"/>
      <c r="P63" s="25"/>
      <c r="Q63" s="25"/>
      <c r="R63" s="25"/>
      <c r="S63" s="1249"/>
      <c r="T63" s="25"/>
      <c r="U63" s="1249"/>
    </row>
    <row r="64" spans="2:23" ht="12.75" customHeight="1" x14ac:dyDescent="0.2">
      <c r="B64" s="1038" t="s">
        <v>993</v>
      </c>
      <c r="C64" s="1251">
        <v>70</v>
      </c>
      <c r="D64" s="1035"/>
      <c r="E64" s="1087">
        <v>6790168</v>
      </c>
      <c r="F64" s="25"/>
      <c r="G64" s="1087">
        <v>1569976.8631212725</v>
      </c>
      <c r="H64" s="1052"/>
      <c r="I64" s="1087">
        <v>1758775.718417271</v>
      </c>
      <c r="J64" s="25"/>
      <c r="K64" s="1087">
        <v>1569.9768631212726</v>
      </c>
      <c r="L64" s="1035" t="s">
        <v>737</v>
      </c>
      <c r="M64" s="1087">
        <v>35175.514368345423</v>
      </c>
      <c r="N64" s="1052" t="s">
        <v>740</v>
      </c>
      <c r="O64" s="1087">
        <v>57742.914792304808</v>
      </c>
      <c r="P64" s="1052" t="s">
        <v>740</v>
      </c>
      <c r="Q64" s="1087">
        <f t="shared" ref="Q64:Q65" si="42">O64/1000*$Z$8*12/44</f>
        <v>4299.2224740816027</v>
      </c>
      <c r="R64" s="1052" t="s">
        <v>740</v>
      </c>
      <c r="S64" s="1254">
        <f t="shared" ref="S64:S65" si="43">Q64/10^6</f>
        <v>4.2992224740816031E-3</v>
      </c>
      <c r="T64" s="1052" t="s">
        <v>740</v>
      </c>
      <c r="U64" s="1254">
        <f t="shared" ref="U64:U65" si="44">S64/(12/44)</f>
        <v>1.5763815738299214E-2</v>
      </c>
    </row>
    <row r="65" spans="2:21" ht="12.75" customHeight="1" x14ac:dyDescent="0.2">
      <c r="B65" s="5" t="s">
        <v>1000</v>
      </c>
      <c r="C65" s="1251">
        <v>30</v>
      </c>
      <c r="D65" s="1035"/>
      <c r="E65" s="1087">
        <v>1615782</v>
      </c>
      <c r="F65" s="25"/>
      <c r="G65" s="1087">
        <v>373590.21983665443</v>
      </c>
      <c r="H65" s="1052"/>
      <c r="I65" s="1087">
        <v>792106.83796093287</v>
      </c>
      <c r="J65" s="25"/>
      <c r="K65" s="1087">
        <v>373.59021983665446</v>
      </c>
      <c r="L65" s="1035" t="s">
        <v>737</v>
      </c>
      <c r="M65" s="1087">
        <v>15842.136759218658</v>
      </c>
      <c r="N65" s="1052" t="s">
        <v>740</v>
      </c>
      <c r="O65" s="1087">
        <v>24894.786335915032</v>
      </c>
      <c r="P65" s="1052" t="s">
        <v>740</v>
      </c>
      <c r="Q65" s="1087">
        <f t="shared" si="42"/>
        <v>1853.5300008285828</v>
      </c>
      <c r="R65" s="1052" t="s">
        <v>740</v>
      </c>
      <c r="S65" s="1254">
        <f t="shared" si="43"/>
        <v>1.8535300008285828E-3</v>
      </c>
      <c r="T65" s="1052" t="s">
        <v>740</v>
      </c>
      <c r="U65" s="1254">
        <f t="shared" si="44"/>
        <v>6.7962766697048042E-3</v>
      </c>
    </row>
    <row r="66" spans="2:21" ht="12.75" customHeight="1" x14ac:dyDescent="0.2">
      <c r="B66" s="1077" t="s">
        <v>1003</v>
      </c>
      <c r="C66" s="1260"/>
      <c r="D66" s="1035"/>
      <c r="E66" s="1125"/>
      <c r="F66" s="25"/>
      <c r="G66" s="1125"/>
      <c r="H66" s="1052"/>
      <c r="I66" s="1125"/>
      <c r="J66" s="25"/>
      <c r="K66" s="1125" t="s">
        <v>1167</v>
      </c>
      <c r="L66" s="1035"/>
      <c r="M66" s="1125"/>
      <c r="N66" s="1052"/>
      <c r="O66" s="1125"/>
      <c r="P66" s="1052"/>
      <c r="Q66" s="1125"/>
      <c r="R66" s="1052"/>
      <c r="S66" s="1125"/>
      <c r="T66" s="1052"/>
      <c r="U66" s="1125"/>
    </row>
    <row r="67" spans="2:21" ht="12.75" customHeight="1" x14ac:dyDescent="0.2">
      <c r="B67" s="5" t="s">
        <v>1008</v>
      </c>
      <c r="C67" s="1251">
        <v>3.9119999999999999</v>
      </c>
      <c r="D67" s="1035"/>
      <c r="E67" s="1087">
        <v>179912.88</v>
      </c>
      <c r="F67" s="25"/>
      <c r="G67" s="1087" t="s">
        <v>708</v>
      </c>
      <c r="H67" s="1052"/>
      <c r="I67" s="1087">
        <v>179912.88</v>
      </c>
      <c r="J67" s="25"/>
      <c r="K67" s="1087" t="s">
        <v>708</v>
      </c>
      <c r="L67" s="1035" t="s">
        <v>737</v>
      </c>
      <c r="M67" s="1087">
        <v>3598.2576000000004</v>
      </c>
      <c r="N67" s="1052" t="s">
        <v>740</v>
      </c>
      <c r="O67" s="1087">
        <v>5654.4048000000003</v>
      </c>
      <c r="P67" s="1052" t="s">
        <v>740</v>
      </c>
      <c r="Q67" s="1087">
        <f t="shared" ref="Q67:Q68" si="45">O67/1000*$Z$8*12/44</f>
        <v>420.99613919999996</v>
      </c>
      <c r="R67" s="1052" t="s">
        <v>740</v>
      </c>
      <c r="S67" s="1254">
        <f t="shared" ref="S67:S68" si="46">Q67/10^6</f>
        <v>4.2099613919999998E-4</v>
      </c>
      <c r="T67" s="1052" t="s">
        <v>740</v>
      </c>
      <c r="U67" s="1254">
        <f t="shared" ref="U67:U68" si="47">S67/(12/44)</f>
        <v>1.5436525104E-3</v>
      </c>
    </row>
    <row r="68" spans="2:21" ht="12.75" customHeight="1" x14ac:dyDescent="0.2">
      <c r="B68" s="5" t="s">
        <v>1009</v>
      </c>
      <c r="C68" s="1251">
        <v>7.3949999999999996</v>
      </c>
      <c r="D68" s="1035"/>
      <c r="E68" s="1087">
        <v>340096.05</v>
      </c>
      <c r="F68" s="25"/>
      <c r="G68" s="1087" t="s">
        <v>708</v>
      </c>
      <c r="H68" s="1052"/>
      <c r="I68" s="1087">
        <v>340096.05</v>
      </c>
      <c r="J68" s="25"/>
      <c r="K68" s="1087" t="s">
        <v>708</v>
      </c>
      <c r="L68" s="1035" t="s">
        <v>737</v>
      </c>
      <c r="M68" s="1087">
        <v>6801.9209999999985</v>
      </c>
      <c r="N68" s="1052" t="s">
        <v>740</v>
      </c>
      <c r="O68" s="1087">
        <v>10688.732999999997</v>
      </c>
      <c r="P68" s="1052" t="s">
        <v>740</v>
      </c>
      <c r="Q68" s="1087">
        <f t="shared" si="45"/>
        <v>795.82475699999986</v>
      </c>
      <c r="R68" s="1052" t="s">
        <v>740</v>
      </c>
      <c r="S68" s="1254">
        <f t="shared" si="46"/>
        <v>7.9582475699999989E-4</v>
      </c>
      <c r="T68" s="1052" t="s">
        <v>740</v>
      </c>
      <c r="U68" s="1254">
        <f t="shared" si="47"/>
        <v>2.918024109E-3</v>
      </c>
    </row>
    <row r="69" spans="2:21" ht="12.75" customHeight="1" x14ac:dyDescent="0.2">
      <c r="B69" s="1077" t="s">
        <v>1013</v>
      </c>
      <c r="C69" s="1260"/>
      <c r="D69" s="1035"/>
      <c r="E69" s="1266"/>
      <c r="F69" s="25"/>
      <c r="G69" s="1266"/>
      <c r="H69" s="1052"/>
      <c r="I69" s="1120"/>
      <c r="J69" s="25"/>
      <c r="K69" s="1120" t="s">
        <v>1167</v>
      </c>
      <c r="L69" s="1035"/>
      <c r="M69" s="1120"/>
      <c r="N69" s="1052"/>
      <c r="O69" s="1120"/>
      <c r="P69" s="1052"/>
      <c r="Q69" s="1120"/>
      <c r="R69" s="1052"/>
      <c r="S69" s="1120"/>
      <c r="T69" s="1052"/>
      <c r="U69" s="1120"/>
    </row>
    <row r="70" spans="2:21" ht="12.75" customHeight="1" x14ac:dyDescent="0.2">
      <c r="B70" s="5" t="s">
        <v>1063</v>
      </c>
      <c r="C70" s="1251">
        <v>6</v>
      </c>
      <c r="D70" s="1035"/>
      <c r="E70" s="1087">
        <v>101900.7</v>
      </c>
      <c r="F70" s="25"/>
      <c r="G70" s="1087">
        <v>76526.437263209998</v>
      </c>
      <c r="H70" s="1052"/>
      <c r="I70" s="1087">
        <v>3831.7624434341997</v>
      </c>
      <c r="J70" s="25"/>
      <c r="K70" s="1087">
        <v>76.526437263209999</v>
      </c>
      <c r="L70" s="1035" t="s">
        <v>737</v>
      </c>
      <c r="M70" s="1087">
        <v>76.635248868684002</v>
      </c>
      <c r="N70" s="1052" t="s">
        <v>740</v>
      </c>
      <c r="O70" s="1087">
        <v>240.6826496358334</v>
      </c>
      <c r="P70" s="1052" t="s">
        <v>740</v>
      </c>
      <c r="Q70" s="1087">
        <f t="shared" ref="Q70:Q74" si="48">O70/1000*$Z$8*12/44</f>
        <v>17.919917277431594</v>
      </c>
      <c r="R70" s="1052" t="s">
        <v>740</v>
      </c>
      <c r="S70" s="1254">
        <f t="shared" ref="S70:S74" si="49">Q70/10^6</f>
        <v>1.7919917277431596E-5</v>
      </c>
      <c r="T70" s="1052" t="s">
        <v>740</v>
      </c>
      <c r="U70" s="1254">
        <f t="shared" ref="U70:U74" si="50">S70/(12/44)</f>
        <v>6.5706363350582516E-5</v>
      </c>
    </row>
    <row r="71" spans="2:21" ht="12.75" customHeight="1" x14ac:dyDescent="0.2">
      <c r="B71" s="5" t="s">
        <v>1064</v>
      </c>
      <c r="C71" s="1251">
        <v>10</v>
      </c>
      <c r="D71" s="1035"/>
      <c r="E71" s="1087">
        <v>34777.199999999997</v>
      </c>
      <c r="F71" s="25"/>
      <c r="G71" s="1087">
        <v>26117.339861159999</v>
      </c>
      <c r="H71" s="1052"/>
      <c r="I71" s="1087">
        <v>1307.7237825431998</v>
      </c>
      <c r="J71" s="25"/>
      <c r="K71" s="1087">
        <v>26.117339861159998</v>
      </c>
      <c r="L71" s="1035" t="s">
        <v>737</v>
      </c>
      <c r="M71" s="1087">
        <v>26.154475650863997</v>
      </c>
      <c r="N71" s="1052" t="s">
        <v>740</v>
      </c>
      <c r="O71" s="1087">
        <v>82.141424376037705</v>
      </c>
      <c r="P71" s="1052" t="s">
        <v>740</v>
      </c>
      <c r="Q71" s="1087">
        <f t="shared" si="48"/>
        <v>6.1158024149068089</v>
      </c>
      <c r="R71" s="1052" t="s">
        <v>740</v>
      </c>
      <c r="S71" s="1254">
        <f t="shared" si="49"/>
        <v>6.1158024149068085E-6</v>
      </c>
      <c r="T71" s="1052" t="s">
        <v>740</v>
      </c>
      <c r="U71" s="1254">
        <f t="shared" si="50"/>
        <v>2.2424608854658301E-5</v>
      </c>
    </row>
    <row r="72" spans="2:21" ht="12.75" customHeight="1" x14ac:dyDescent="0.2">
      <c r="B72" s="5" t="s">
        <v>1065</v>
      </c>
      <c r="C72" s="1251">
        <v>6</v>
      </c>
      <c r="D72" s="1035"/>
      <c r="E72" s="1087">
        <v>37343.879999999997</v>
      </c>
      <c r="F72" s="25"/>
      <c r="G72" s="1087">
        <v>28044.891644364005</v>
      </c>
      <c r="H72" s="1052"/>
      <c r="I72" s="1087">
        <v>1404.23840931528</v>
      </c>
      <c r="J72" s="25"/>
      <c r="K72" s="1087">
        <v>28.044891644364004</v>
      </c>
      <c r="L72" s="1035" t="s">
        <v>737</v>
      </c>
      <c r="M72" s="1087">
        <v>28.084768186305602</v>
      </c>
      <c r="N72" s="1052" t="s">
        <v>740</v>
      </c>
      <c r="O72" s="1087">
        <v>88.203751162480813</v>
      </c>
      <c r="P72" s="1052" t="s">
        <v>740</v>
      </c>
      <c r="Q72" s="1087">
        <f t="shared" si="48"/>
        <v>6.5671702001883441</v>
      </c>
      <c r="R72" s="1052" t="s">
        <v>740</v>
      </c>
      <c r="S72" s="1254">
        <f t="shared" si="49"/>
        <v>6.5671702001883444E-6</v>
      </c>
      <c r="T72" s="1052" t="s">
        <v>740</v>
      </c>
      <c r="U72" s="1254">
        <f t="shared" si="50"/>
        <v>2.4079624067357264E-5</v>
      </c>
    </row>
    <row r="73" spans="2:21" ht="12.75" customHeight="1" x14ac:dyDescent="0.2">
      <c r="B73" s="5" t="s">
        <v>1067</v>
      </c>
      <c r="C73" s="1251">
        <v>7</v>
      </c>
      <c r="D73" s="1035"/>
      <c r="E73" s="1087">
        <v>72777.641999999993</v>
      </c>
      <c r="F73" s="25"/>
      <c r="G73" s="1087">
        <v>54655.303198872592</v>
      </c>
      <c r="H73" s="1052"/>
      <c r="I73" s="1087">
        <v>2736.6508310276517</v>
      </c>
      <c r="J73" s="25"/>
      <c r="K73" s="1087">
        <v>54.655303198872595</v>
      </c>
      <c r="L73" s="1035" t="s">
        <v>737</v>
      </c>
      <c r="M73" s="1087">
        <v>54.733016620553038</v>
      </c>
      <c r="N73" s="1052" t="s">
        <v>740</v>
      </c>
      <c r="O73" s="1087">
        <v>171.8959311448117</v>
      </c>
      <c r="P73" s="1052" t="s">
        <v>740</v>
      </c>
      <c r="Q73" s="1087">
        <f t="shared" si="48"/>
        <v>12.798433418872797</v>
      </c>
      <c r="R73" s="1052" t="s">
        <v>740</v>
      </c>
      <c r="S73" s="1254">
        <f t="shared" si="49"/>
        <v>1.2798433418872796E-5</v>
      </c>
      <c r="T73" s="1052" t="s">
        <v>740</v>
      </c>
      <c r="U73" s="1254">
        <f t="shared" si="50"/>
        <v>4.6927589202533592E-5</v>
      </c>
    </row>
    <row r="74" spans="2:21" ht="12.75" customHeight="1" x14ac:dyDescent="0.2">
      <c r="B74" s="5" t="s">
        <v>1069</v>
      </c>
      <c r="C74" s="1251">
        <v>4</v>
      </c>
      <c r="D74" s="1035"/>
      <c r="E74" s="1087">
        <v>55647.9</v>
      </c>
      <c r="F74" s="25"/>
      <c r="G74" s="1087">
        <v>41791.033115370003</v>
      </c>
      <c r="H74" s="1052"/>
      <c r="I74" s="1087">
        <v>2092.5227527973998</v>
      </c>
      <c r="J74" s="25"/>
      <c r="K74" s="1087">
        <v>41.791033115370006</v>
      </c>
      <c r="L74" s="1035" t="s">
        <v>737</v>
      </c>
      <c r="M74" s="1087">
        <v>41.850455055947997</v>
      </c>
      <c r="N74" s="1052" t="s">
        <v>740</v>
      </c>
      <c r="O74" s="1087">
        <v>131.43662426921401</v>
      </c>
      <c r="P74" s="1052" t="s">
        <v>740</v>
      </c>
      <c r="Q74" s="1087">
        <f t="shared" si="48"/>
        <v>9.7860541160442054</v>
      </c>
      <c r="R74" s="1052" t="s">
        <v>740</v>
      </c>
      <c r="S74" s="1254">
        <f t="shared" si="49"/>
        <v>9.7860541160442052E-6</v>
      </c>
      <c r="T74" s="1052" t="s">
        <v>740</v>
      </c>
      <c r="U74" s="1254">
        <f t="shared" si="50"/>
        <v>3.5882198425495422E-5</v>
      </c>
    </row>
    <row r="75" spans="2:21" ht="12.75" customHeight="1" x14ac:dyDescent="0.2">
      <c r="B75" s="1077" t="s">
        <v>1072</v>
      </c>
      <c r="C75" s="1276"/>
      <c r="D75" s="1035"/>
      <c r="E75" s="1155"/>
      <c r="F75" s="25"/>
      <c r="G75" s="1155"/>
      <c r="H75" s="1052"/>
      <c r="I75" s="1155"/>
      <c r="J75" s="25"/>
      <c r="K75" s="1155" t="s">
        <v>1167</v>
      </c>
      <c r="L75" s="1035"/>
      <c r="M75" s="1155"/>
      <c r="N75" s="1052"/>
      <c r="O75" s="1155"/>
      <c r="P75" s="1052"/>
      <c r="Q75" s="1155"/>
      <c r="R75" s="1052"/>
      <c r="S75" s="1155"/>
      <c r="T75" s="1052"/>
      <c r="U75" s="1155"/>
    </row>
    <row r="76" spans="2:21" ht="12.75" customHeight="1" x14ac:dyDescent="0.2">
      <c r="B76" s="5" t="s">
        <v>1076</v>
      </c>
      <c r="C76" s="1280"/>
      <c r="D76" s="1163"/>
      <c r="E76" s="1166"/>
      <c r="F76" s="1281"/>
      <c r="G76" s="1166"/>
      <c r="H76" s="1282"/>
      <c r="I76" s="1166"/>
      <c r="J76" s="1281"/>
      <c r="K76" s="1166"/>
      <c r="L76" s="1163"/>
      <c r="M76" s="1166"/>
      <c r="N76" s="1282"/>
      <c r="O76" s="1166"/>
      <c r="P76" s="1282"/>
      <c r="Q76" s="1166"/>
      <c r="R76" s="1282"/>
      <c r="S76" s="1166"/>
      <c r="T76" s="1282"/>
      <c r="U76" s="1166"/>
    </row>
    <row r="77" spans="2:21" ht="12.75" customHeight="1" x14ac:dyDescent="0.2">
      <c r="B77" s="5" t="s">
        <v>1098</v>
      </c>
      <c r="C77" s="1251">
        <v>2560</v>
      </c>
      <c r="D77" s="1035"/>
      <c r="E77" s="1087">
        <v>1395993.6000000001</v>
      </c>
      <c r="F77" s="25"/>
      <c r="G77" s="1087">
        <v>69799.679999999993</v>
      </c>
      <c r="H77" s="1052"/>
      <c r="I77" s="1087">
        <v>1326193.92</v>
      </c>
      <c r="J77" s="25"/>
      <c r="K77" s="1087">
        <v>69.799679999999995</v>
      </c>
      <c r="L77" s="1035" t="s">
        <v>737</v>
      </c>
      <c r="M77" s="1087">
        <v>6630.9695999999994</v>
      </c>
      <c r="N77" s="1052" t="s">
        <v>740</v>
      </c>
      <c r="O77" s="1087">
        <v>10529.780297142855</v>
      </c>
      <c r="P77" s="1052" t="s">
        <v>740</v>
      </c>
      <c r="Q77" s="1087">
        <f t="shared" ref="Q77:Q81" si="51">O77/1000*$Z$8*12/44</f>
        <v>783.99000575999992</v>
      </c>
      <c r="R77" s="1052" t="s">
        <v>740</v>
      </c>
      <c r="S77" s="1254">
        <f t="shared" ref="S77:S81" si="52">Q77/10^6</f>
        <v>7.8399000575999993E-4</v>
      </c>
      <c r="T77" s="1052" t="s">
        <v>740</v>
      </c>
      <c r="U77" s="1254">
        <f t="shared" ref="U77:U81" si="53">S77/(12/44)</f>
        <v>2.8746300211199998E-3</v>
      </c>
    </row>
    <row r="78" spans="2:21" ht="12.75" customHeight="1" x14ac:dyDescent="0.2">
      <c r="B78" s="5" t="s">
        <v>1100</v>
      </c>
      <c r="C78" s="1251">
        <v>938</v>
      </c>
      <c r="D78" s="1035"/>
      <c r="E78" s="1087">
        <v>382084.92</v>
      </c>
      <c r="F78" s="25"/>
      <c r="G78" s="1087">
        <v>19104.245999999999</v>
      </c>
      <c r="H78" s="1052"/>
      <c r="I78" s="1087">
        <v>362980.67399999994</v>
      </c>
      <c r="J78" s="25"/>
      <c r="K78" s="1087">
        <v>19.104246</v>
      </c>
      <c r="L78" s="1035" t="s">
        <v>737</v>
      </c>
      <c r="M78" s="1087">
        <v>1814.9033699999998</v>
      </c>
      <c r="N78" s="1052" t="s">
        <v>740</v>
      </c>
      <c r="O78" s="1087">
        <v>2882.0119679999998</v>
      </c>
      <c r="P78" s="1052" t="s">
        <v>740</v>
      </c>
      <c r="Q78" s="1087">
        <f t="shared" si="51"/>
        <v>214.57889107199998</v>
      </c>
      <c r="R78" s="1052" t="s">
        <v>740</v>
      </c>
      <c r="S78" s="1254">
        <f t="shared" si="52"/>
        <v>2.1457889107199998E-4</v>
      </c>
      <c r="T78" s="1052" t="s">
        <v>740</v>
      </c>
      <c r="U78" s="1254">
        <f t="shared" si="53"/>
        <v>7.8678926726399997E-4</v>
      </c>
    </row>
    <row r="79" spans="2:21" ht="12.75" customHeight="1" x14ac:dyDescent="0.2">
      <c r="B79" s="5" t="s">
        <v>1101</v>
      </c>
      <c r="C79" s="1251">
        <v>16</v>
      </c>
      <c r="D79" s="1035"/>
      <c r="E79" s="1087">
        <v>8724.9599999999991</v>
      </c>
      <c r="F79" s="25"/>
      <c r="G79" s="1087">
        <v>436.24799999999999</v>
      </c>
      <c r="H79" s="1052"/>
      <c r="I79" s="1087">
        <v>8288.7119999999995</v>
      </c>
      <c r="J79" s="25"/>
      <c r="K79" s="1087">
        <v>0.43624800000000002</v>
      </c>
      <c r="L79" s="1035" t="s">
        <v>737</v>
      </c>
      <c r="M79" s="1087">
        <v>41.443559999999998</v>
      </c>
      <c r="N79" s="1052" t="s">
        <v>740</v>
      </c>
      <c r="O79" s="1087">
        <v>65.811126857142852</v>
      </c>
      <c r="P79" s="1052" t="s">
        <v>740</v>
      </c>
      <c r="Q79" s="1087">
        <f t="shared" si="51"/>
        <v>4.8999375359999995</v>
      </c>
      <c r="R79" s="1052" t="s">
        <v>740</v>
      </c>
      <c r="S79" s="1254">
        <f t="shared" si="52"/>
        <v>4.8999375359999992E-6</v>
      </c>
      <c r="T79" s="1052" t="s">
        <v>740</v>
      </c>
      <c r="U79" s="1254">
        <f t="shared" si="53"/>
        <v>1.7966437631999999E-5</v>
      </c>
    </row>
    <row r="80" spans="2:21" ht="12.75" customHeight="1" x14ac:dyDescent="0.2">
      <c r="B80" s="5" t="s">
        <v>1102</v>
      </c>
      <c r="C80" s="1251">
        <v>54090.909</v>
      </c>
      <c r="D80" s="477"/>
      <c r="E80" s="1087">
        <v>19545749.967150003</v>
      </c>
      <c r="F80" s="25"/>
      <c r="G80" s="1087" t="s">
        <v>708</v>
      </c>
      <c r="H80" s="1052"/>
      <c r="I80" s="1087">
        <v>19545749.967150003</v>
      </c>
      <c r="J80" s="25"/>
      <c r="K80" s="1087" t="s">
        <v>708</v>
      </c>
      <c r="L80" s="1035" t="s">
        <v>737</v>
      </c>
      <c r="M80" s="1087">
        <v>390914.99934300006</v>
      </c>
      <c r="N80" s="1052" t="s">
        <v>740</v>
      </c>
      <c r="O80" s="1087">
        <v>614294.99896757153</v>
      </c>
      <c r="P80" s="1052" t="s">
        <v>740</v>
      </c>
      <c r="Q80" s="1087">
        <f t="shared" si="51"/>
        <v>45737.054923131014</v>
      </c>
      <c r="R80" s="1052" t="s">
        <v>740</v>
      </c>
      <c r="S80" s="1254">
        <f t="shared" si="52"/>
        <v>4.5737054923131015E-2</v>
      </c>
      <c r="T80" s="1052" t="s">
        <v>740</v>
      </c>
      <c r="U80" s="1254">
        <f t="shared" si="53"/>
        <v>0.16770253471814706</v>
      </c>
    </row>
    <row r="81" spans="1:51" ht="12.75" customHeight="1" x14ac:dyDescent="0.2">
      <c r="B81" s="5" t="s">
        <v>1104</v>
      </c>
      <c r="C81" s="1251">
        <v>243.333</v>
      </c>
      <c r="D81" s="477"/>
      <c r="E81" s="1087">
        <v>446924.85443999997</v>
      </c>
      <c r="F81" s="25"/>
      <c r="G81" s="1087" t="s">
        <v>708</v>
      </c>
      <c r="H81" s="1052"/>
      <c r="I81" s="1087">
        <v>446924.85443999997</v>
      </c>
      <c r="J81" s="25"/>
      <c r="K81" s="1087" t="s">
        <v>708</v>
      </c>
      <c r="L81" s="1035" t="s">
        <v>737</v>
      </c>
      <c r="M81" s="1087">
        <v>8938.4970887999989</v>
      </c>
      <c r="N81" s="1052" t="s">
        <v>740</v>
      </c>
      <c r="O81" s="1087">
        <v>14046.209710971427</v>
      </c>
      <c r="P81" s="1052" t="s">
        <v>740</v>
      </c>
      <c r="Q81" s="1087">
        <f t="shared" si="51"/>
        <v>1045.8041593895998</v>
      </c>
      <c r="R81" s="1052" t="s">
        <v>740</v>
      </c>
      <c r="S81" s="1254">
        <f t="shared" si="52"/>
        <v>1.0458041593895998E-3</v>
      </c>
      <c r="T81" s="1052" t="s">
        <v>740</v>
      </c>
      <c r="U81" s="1254">
        <f t="shared" si="53"/>
        <v>3.8346152510951997E-3</v>
      </c>
    </row>
    <row r="82" spans="1:51" ht="12.75" customHeight="1" x14ac:dyDescent="0.2">
      <c r="B82" s="1077" t="s">
        <v>92</v>
      </c>
      <c r="C82" s="1260"/>
      <c r="D82" s="477"/>
      <c r="E82" s="1120"/>
      <c r="F82" s="25"/>
      <c r="G82" s="1120"/>
      <c r="H82" s="1052"/>
      <c r="I82" s="1120"/>
      <c r="J82" s="25"/>
      <c r="K82" s="1120" t="s">
        <v>1167</v>
      </c>
      <c r="L82" s="1035"/>
      <c r="M82" s="1120"/>
      <c r="N82" s="1052"/>
      <c r="O82" s="1120"/>
      <c r="P82" s="1052"/>
      <c r="Q82" s="1125"/>
      <c r="R82" s="1052"/>
      <c r="S82" s="1125"/>
      <c r="T82" s="1052"/>
      <c r="U82" s="1125"/>
    </row>
    <row r="83" spans="1:51" ht="12.75" customHeight="1" x14ac:dyDescent="0.2">
      <c r="B83" s="1038" t="s">
        <v>1106</v>
      </c>
      <c r="C83" s="1251">
        <v>0</v>
      </c>
      <c r="D83" s="477"/>
      <c r="E83" s="1087">
        <v>0</v>
      </c>
      <c r="F83" s="25"/>
      <c r="G83" s="1087" t="s">
        <v>708</v>
      </c>
      <c r="H83" s="1052"/>
      <c r="I83" s="1087">
        <v>0</v>
      </c>
      <c r="J83" s="25"/>
      <c r="K83" s="1087" t="s">
        <v>708</v>
      </c>
      <c r="L83" s="1035" t="s">
        <v>737</v>
      </c>
      <c r="M83" s="1087">
        <v>0</v>
      </c>
      <c r="N83" s="1052" t="s">
        <v>740</v>
      </c>
      <c r="O83" s="1087">
        <v>0</v>
      </c>
      <c r="P83" s="1052" t="s">
        <v>740</v>
      </c>
      <c r="Q83" s="1087">
        <f t="shared" ref="Q83:Q84" si="54">O83/1000*$Z$8*12/44</f>
        <v>0</v>
      </c>
      <c r="R83" s="1052" t="s">
        <v>740</v>
      </c>
      <c r="S83" s="1254">
        <f t="shared" ref="S83:S85" si="55">Q83/10^6</f>
        <v>0</v>
      </c>
      <c r="T83" s="1052" t="s">
        <v>740</v>
      </c>
      <c r="U83" s="1254">
        <f t="shared" ref="U83:U85" si="56">S83/(12/44)</f>
        <v>0</v>
      </c>
    </row>
    <row r="84" spans="1:51" ht="13.5" customHeight="1" x14ac:dyDescent="0.2">
      <c r="B84" s="1038" t="s">
        <v>1116</v>
      </c>
      <c r="C84" s="1251">
        <v>22</v>
      </c>
      <c r="D84" s="477"/>
      <c r="E84" s="1087">
        <v>91060.2</v>
      </c>
      <c r="F84" s="25"/>
      <c r="G84" s="1087" t="s">
        <v>708</v>
      </c>
      <c r="H84" s="1052"/>
      <c r="I84" s="1087">
        <v>0</v>
      </c>
      <c r="J84" s="25"/>
      <c r="K84" s="1087" t="s">
        <v>708</v>
      </c>
      <c r="L84" s="1035" t="s">
        <v>737</v>
      </c>
      <c r="M84" s="1087">
        <v>0</v>
      </c>
      <c r="N84" s="1052" t="s">
        <v>740</v>
      </c>
      <c r="O84" s="1087">
        <v>0</v>
      </c>
      <c r="P84" s="1052" t="s">
        <v>740</v>
      </c>
      <c r="Q84" s="1087">
        <f t="shared" si="54"/>
        <v>0</v>
      </c>
      <c r="R84" s="1052" t="s">
        <v>740</v>
      </c>
      <c r="S84" s="1298">
        <f t="shared" si="55"/>
        <v>0</v>
      </c>
      <c r="T84" s="1052" t="s">
        <v>740</v>
      </c>
      <c r="U84" s="1254">
        <f t="shared" si="56"/>
        <v>0</v>
      </c>
    </row>
    <row r="85" spans="1:51" ht="13.5" customHeight="1" x14ac:dyDescent="0.2">
      <c r="B85" s="873" t="s">
        <v>907</v>
      </c>
      <c r="C85" s="1299" t="s">
        <v>1167</v>
      </c>
      <c r="D85" s="25"/>
      <c r="E85" s="1217">
        <v>31098944.753590003</v>
      </c>
      <c r="F85" s="25"/>
      <c r="G85" s="1217">
        <v>2260042.2620409038</v>
      </c>
      <c r="H85" s="25"/>
      <c r="I85" s="1217">
        <v>24772402.512187321</v>
      </c>
      <c r="J85" s="1052"/>
      <c r="K85" s="1217">
        <v>2260.0422620409031</v>
      </c>
      <c r="L85" s="1125"/>
      <c r="M85" s="1217">
        <v>469986.10065374651</v>
      </c>
      <c r="N85" s="1052"/>
      <c r="O85" s="1217">
        <f>SUM(O64:O84)</f>
        <v>741514.01137935114</v>
      </c>
      <c r="P85" s="1052"/>
      <c r="Q85" s="1217">
        <f>SUM(Q64:Q84)</f>
        <v>55209.088665426243</v>
      </c>
      <c r="R85" s="1052"/>
      <c r="S85" s="1301">
        <f t="shared" si="55"/>
        <v>5.5209088665426245E-2</v>
      </c>
      <c r="T85" s="1052"/>
      <c r="U85" s="1303">
        <f t="shared" si="56"/>
        <v>0.20243332510656292</v>
      </c>
    </row>
    <row r="86" spans="1:51" ht="12" customHeight="1" x14ac:dyDescent="0.2">
      <c r="A86" s="74"/>
      <c r="B86" s="1061"/>
      <c r="C86" s="1062"/>
      <c r="D86" s="1063"/>
      <c r="E86" s="1063"/>
      <c r="F86" s="1063"/>
      <c r="G86" s="1064"/>
      <c r="H86" s="1065"/>
      <c r="I86" s="1066"/>
      <c r="J86" s="1065"/>
      <c r="K86" s="1067"/>
      <c r="L86" s="74"/>
      <c r="M86" s="1067"/>
      <c r="N86" s="74"/>
      <c r="O86" s="74"/>
      <c r="P86" s="74"/>
      <c r="Q86" s="74"/>
      <c r="R86" s="74"/>
      <c r="S86" s="74"/>
      <c r="T86" s="74"/>
      <c r="U86" s="74"/>
    </row>
    <row r="87" spans="1:51" ht="19.5" customHeight="1" x14ac:dyDescent="0.4">
      <c r="B87" s="1304" t="s">
        <v>1218</v>
      </c>
      <c r="C87" s="1068"/>
      <c r="D87" s="1069"/>
      <c r="E87" s="1069"/>
      <c r="F87" s="1069"/>
      <c r="G87" s="1070"/>
      <c r="H87" s="297"/>
      <c r="I87" s="1071"/>
      <c r="J87" s="297"/>
      <c r="K87" s="1072"/>
      <c r="M87" s="1072"/>
    </row>
    <row r="88" spans="1:51" ht="11.25" customHeight="1" x14ac:dyDescent="0.2">
      <c r="A88" s="161"/>
      <c r="B88" s="1305" t="s">
        <v>1219</v>
      </c>
      <c r="C88" s="1306"/>
      <c r="D88" s="1306"/>
      <c r="E88" s="1306"/>
      <c r="F88" s="1306"/>
      <c r="G88" s="1306"/>
      <c r="H88" s="161"/>
      <c r="I88" s="161"/>
      <c r="J88" s="1306"/>
      <c r="K88" s="1306"/>
      <c r="L88" s="1306"/>
      <c r="M88" s="1309"/>
      <c r="N88" s="1306"/>
      <c r="O88" s="1306"/>
      <c r="P88" s="1310"/>
      <c r="Q88" s="1306"/>
      <c r="R88" s="1306"/>
      <c r="S88" s="1306"/>
      <c r="T88" s="1306"/>
      <c r="U88" s="1306"/>
      <c r="V88" s="1306"/>
      <c r="W88" s="1306"/>
      <c r="X88" s="1306"/>
      <c r="Y88" s="1306"/>
      <c r="Z88" s="1306"/>
      <c r="AA88" s="1306"/>
      <c r="AB88" s="1306"/>
      <c r="AC88" s="1306"/>
      <c r="AD88" s="1306"/>
      <c r="AE88" s="1306"/>
      <c r="AF88" s="161"/>
      <c r="AG88" s="161"/>
      <c r="AH88" s="161"/>
      <c r="AI88" s="161"/>
      <c r="AJ88" s="161"/>
      <c r="AK88" s="161"/>
      <c r="AL88" s="161"/>
      <c r="AM88" s="161"/>
      <c r="AN88" s="161"/>
      <c r="AO88" s="161"/>
      <c r="AP88" s="161"/>
      <c r="AQ88" s="161"/>
      <c r="AR88" s="161"/>
      <c r="AS88" s="161"/>
      <c r="AT88" s="161"/>
      <c r="AU88" s="161"/>
      <c r="AV88" s="161"/>
      <c r="AW88" s="161"/>
      <c r="AX88" s="161"/>
      <c r="AY88" s="161"/>
    </row>
    <row r="89" spans="1:51" ht="48.75" customHeight="1" x14ac:dyDescent="0.25">
      <c r="A89" s="161"/>
      <c r="B89" s="1317"/>
      <c r="C89" s="653" t="s">
        <v>42</v>
      </c>
      <c r="D89" s="653"/>
      <c r="E89" s="653" t="s">
        <v>1222</v>
      </c>
      <c r="F89" s="653"/>
      <c r="G89" s="653" t="s">
        <v>1223</v>
      </c>
      <c r="H89" s="161"/>
      <c r="I89" s="1321" t="s">
        <v>1224</v>
      </c>
      <c r="J89" s="161"/>
      <c r="K89" s="653" t="s">
        <v>1225</v>
      </c>
      <c r="L89" s="653"/>
      <c r="M89" s="1322" t="s">
        <v>1226</v>
      </c>
      <c r="N89" s="663"/>
      <c r="O89" s="1322" t="s">
        <v>1228</v>
      </c>
      <c r="P89" s="1322"/>
      <c r="Q89" s="1322" t="s">
        <v>1231</v>
      </c>
      <c r="R89" s="161"/>
      <c r="S89" s="653" t="s">
        <v>1233</v>
      </c>
      <c r="T89" s="653"/>
      <c r="U89" s="1322" t="s">
        <v>1234</v>
      </c>
      <c r="V89" s="161"/>
      <c r="W89" s="653" t="s">
        <v>1236</v>
      </c>
      <c r="X89" s="161"/>
      <c r="Y89" s="161"/>
      <c r="Z89" s="663" t="s">
        <v>1237</v>
      </c>
      <c r="AA89" s="653" t="s">
        <v>1239</v>
      </c>
      <c r="AB89" s="161"/>
      <c r="AC89" s="1324" t="s">
        <v>1241</v>
      </c>
      <c r="AD89" s="161"/>
      <c r="AE89" s="653" t="s">
        <v>1242</v>
      </c>
      <c r="AF89" s="161"/>
      <c r="AG89" s="161"/>
      <c r="AH89" s="161"/>
      <c r="AI89" s="161"/>
      <c r="AJ89" s="161"/>
      <c r="AK89" s="161"/>
      <c r="AL89" s="161"/>
      <c r="AM89" s="161"/>
      <c r="AN89" s="161"/>
      <c r="AO89" s="161"/>
      <c r="AP89" s="161"/>
      <c r="AQ89" s="161"/>
      <c r="AR89" s="161"/>
      <c r="AS89" s="161"/>
      <c r="AT89" s="161"/>
      <c r="AU89" s="161"/>
      <c r="AV89" s="161"/>
      <c r="AW89" s="161"/>
      <c r="AX89" s="161"/>
      <c r="AY89" s="161"/>
    </row>
    <row r="90" spans="1:51" ht="12" customHeight="1" x14ac:dyDescent="0.2">
      <c r="A90" s="161"/>
      <c r="B90" s="1328" t="s">
        <v>1250</v>
      </c>
      <c r="C90" s="1329" t="s">
        <v>1251</v>
      </c>
      <c r="D90" s="653"/>
      <c r="E90" s="1331">
        <v>156</v>
      </c>
      <c r="F90" s="1333"/>
      <c r="G90" s="1335" t="s">
        <v>708</v>
      </c>
      <c r="H90" s="1336"/>
      <c r="I90" s="1336">
        <v>0</v>
      </c>
      <c r="J90" s="1336"/>
      <c r="K90" s="1338">
        <f>E90*0.9072*1000</f>
        <v>141523.20000000001</v>
      </c>
      <c r="L90" s="1339"/>
      <c r="M90" s="1336">
        <v>0.85</v>
      </c>
      <c r="N90" s="1336"/>
      <c r="O90" s="1336">
        <v>0</v>
      </c>
      <c r="P90" s="1336"/>
      <c r="Q90" s="1336" t="s">
        <v>708</v>
      </c>
      <c r="R90" s="1336"/>
      <c r="S90" s="1338" t="s">
        <v>708</v>
      </c>
      <c r="T90" s="1341"/>
      <c r="U90" s="1336">
        <v>0.03</v>
      </c>
      <c r="V90" s="1336"/>
      <c r="W90" s="1338">
        <f>(K90*1000)*(1+I90)*M90*U90</f>
        <v>3608841.6</v>
      </c>
      <c r="X90" s="161"/>
      <c r="Y90" s="1344" t="s">
        <v>1263</v>
      </c>
      <c r="Z90" s="663">
        <v>0.01</v>
      </c>
      <c r="AA90" s="1347">
        <f>S111/1000*Z90*44/28</f>
        <v>402.03381228776044</v>
      </c>
      <c r="AB90" s="161"/>
      <c r="AC90" s="1355">
        <f t="shared" ref="AC90:AC91" si="57">AA90*$Z$8*12/44*10^-6</f>
        <v>2.9933244751243253E-2</v>
      </c>
      <c r="AD90" s="161"/>
      <c r="AE90" s="1355">
        <v>9.2700358370483606E-3</v>
      </c>
      <c r="AF90" s="161"/>
      <c r="AG90" s="161"/>
      <c r="AH90" s="161"/>
      <c r="AI90" s="161"/>
      <c r="AJ90" s="161"/>
      <c r="AK90" s="161"/>
      <c r="AL90" s="161"/>
      <c r="AM90" s="161"/>
      <c r="AN90" s="161"/>
      <c r="AO90" s="161"/>
      <c r="AP90" s="161"/>
      <c r="AQ90" s="161"/>
      <c r="AR90" s="161"/>
      <c r="AS90" s="161"/>
      <c r="AT90" s="161"/>
      <c r="AU90" s="161"/>
      <c r="AV90" s="161"/>
      <c r="AW90" s="161"/>
      <c r="AX90" s="161"/>
      <c r="AY90" s="161"/>
    </row>
    <row r="91" spans="1:51" ht="12" customHeight="1" x14ac:dyDescent="0.2">
      <c r="A91" s="161"/>
      <c r="B91" s="161" t="s">
        <v>1266</v>
      </c>
      <c r="C91" s="1329" t="s">
        <v>1267</v>
      </c>
      <c r="D91" s="1329"/>
      <c r="E91" s="1356">
        <v>60350</v>
      </c>
      <c r="F91" s="1357"/>
      <c r="G91" s="1358">
        <v>2.5401147108E-2</v>
      </c>
      <c r="H91" s="1359"/>
      <c r="I91" s="1359">
        <v>1</v>
      </c>
      <c r="J91" s="1359"/>
      <c r="K91" s="1363">
        <f t="shared" ref="K91:K97" si="58">E91*1000*G91</f>
        <v>1532959.2279678001</v>
      </c>
      <c r="L91" s="1363"/>
      <c r="M91" s="1359">
        <v>0.91</v>
      </c>
      <c r="N91" s="1359"/>
      <c r="O91" s="1359">
        <v>0.9</v>
      </c>
      <c r="P91" s="1359"/>
      <c r="Q91" s="1359">
        <v>5.7999999999999996E-3</v>
      </c>
      <c r="R91" s="1359"/>
      <c r="S91" s="1363">
        <f t="shared" ref="S91:S105" si="59">(K91*1000)*I91*M91*O91*Q91</f>
        <v>7281862.9246926438</v>
      </c>
      <c r="T91" s="1364"/>
      <c r="U91" s="1359">
        <v>0.03</v>
      </c>
      <c r="V91" s="1359"/>
      <c r="W91" s="1363" t="s">
        <v>708</v>
      </c>
      <c r="X91" s="161"/>
      <c r="Y91" s="1344" t="s">
        <v>1270</v>
      </c>
      <c r="Z91" s="663">
        <v>0.01</v>
      </c>
      <c r="AA91" s="1347">
        <f>W111/1000*Z91*44/28</f>
        <v>603.78691717004938</v>
      </c>
      <c r="AB91" s="161"/>
      <c r="AC91" s="1355">
        <f t="shared" si="57"/>
        <v>4.4954680469297306E-2</v>
      </c>
      <c r="AD91" s="161"/>
      <c r="AE91" s="1355">
        <v>1.3922028916565602E-2</v>
      </c>
      <c r="AF91" s="161"/>
      <c r="AG91" s="161"/>
      <c r="AH91" s="161"/>
      <c r="AI91" s="161"/>
      <c r="AJ91" s="161"/>
      <c r="AK91" s="161"/>
      <c r="AL91" s="161"/>
      <c r="AM91" s="161"/>
      <c r="AN91" s="161"/>
      <c r="AO91" s="161"/>
      <c r="AP91" s="161"/>
      <c r="AQ91" s="161"/>
      <c r="AR91" s="161"/>
      <c r="AS91" s="161"/>
      <c r="AT91" s="161"/>
      <c r="AU91" s="161"/>
      <c r="AV91" s="161"/>
      <c r="AW91" s="161"/>
      <c r="AX91" s="161"/>
      <c r="AY91" s="161"/>
    </row>
    <row r="92" spans="1:51" ht="11.25" customHeight="1" x14ac:dyDescent="0.2">
      <c r="A92" s="161"/>
      <c r="B92" s="161" t="s">
        <v>1280</v>
      </c>
      <c r="C92" s="1329" t="s">
        <v>1267</v>
      </c>
      <c r="D92" s="1329"/>
      <c r="E92" s="1356">
        <v>8500</v>
      </c>
      <c r="F92" s="1357"/>
      <c r="G92" s="1358">
        <v>2.7215442853E-2</v>
      </c>
      <c r="H92" s="1359"/>
      <c r="I92" s="1359">
        <v>1.3</v>
      </c>
      <c r="J92" s="1359"/>
      <c r="K92" s="1363">
        <f t="shared" si="58"/>
        <v>231331.26425050001</v>
      </c>
      <c r="L92" s="1363"/>
      <c r="M92" s="1359">
        <v>0.93</v>
      </c>
      <c r="N92" s="1359"/>
      <c r="O92" s="1359">
        <v>0.9</v>
      </c>
      <c r="P92" s="1359"/>
      <c r="Q92" s="1359">
        <v>6.1999999999999998E-3</v>
      </c>
      <c r="R92" s="1359"/>
      <c r="S92" s="1363">
        <f t="shared" si="59"/>
        <v>1560611.6015120081</v>
      </c>
      <c r="T92" s="1364"/>
      <c r="U92" s="1359">
        <v>0.03</v>
      </c>
      <c r="V92" s="1359"/>
      <c r="W92" s="1363" t="s">
        <v>708</v>
      </c>
      <c r="X92" s="161"/>
      <c r="Y92" s="656"/>
      <c r="Z92" s="1366"/>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161"/>
      <c r="AX92" s="161"/>
      <c r="AY92" s="161"/>
    </row>
    <row r="93" spans="1:51" ht="11.25" customHeight="1" x14ac:dyDescent="0.2">
      <c r="A93" s="161"/>
      <c r="B93" s="161" t="s">
        <v>1286</v>
      </c>
      <c r="C93" s="1329" t="s">
        <v>1267</v>
      </c>
      <c r="D93" s="1329"/>
      <c r="E93" s="1356">
        <v>2784</v>
      </c>
      <c r="F93" s="1357"/>
      <c r="G93" s="1358">
        <v>2.1772E-2</v>
      </c>
      <c r="H93" s="1359"/>
      <c r="I93" s="1359">
        <v>1.2</v>
      </c>
      <c r="J93" s="1359"/>
      <c r="K93" s="1363">
        <f t="shared" si="58"/>
        <v>60613.248</v>
      </c>
      <c r="L93" s="1363"/>
      <c r="M93" s="1359">
        <v>0.93</v>
      </c>
      <c r="N93" s="1359"/>
      <c r="O93" s="1359">
        <v>0.9</v>
      </c>
      <c r="P93" s="1359"/>
      <c r="Q93" s="1359">
        <v>7.7000000000000002E-3</v>
      </c>
      <c r="R93" s="1359"/>
      <c r="S93" s="1363">
        <f t="shared" si="59"/>
        <v>468775.58644223999</v>
      </c>
      <c r="T93" s="1364"/>
      <c r="U93" s="1359">
        <v>0.03</v>
      </c>
      <c r="V93" s="1359"/>
      <c r="W93" s="1363" t="s">
        <v>708</v>
      </c>
      <c r="X93" s="161"/>
      <c r="Y93" s="161"/>
      <c r="Z93" s="1366"/>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1"/>
      <c r="AW93" s="161"/>
      <c r="AX93" s="161"/>
      <c r="AY93" s="161"/>
    </row>
    <row r="94" spans="1:51" ht="11.25" customHeight="1" x14ac:dyDescent="0.2">
      <c r="A94" s="161"/>
      <c r="B94" s="161" t="s">
        <v>1288</v>
      </c>
      <c r="C94" s="1329" t="s">
        <v>1267</v>
      </c>
      <c r="D94" s="1329"/>
      <c r="E94" s="1356">
        <v>0</v>
      </c>
      <c r="F94" s="1357"/>
      <c r="G94" s="1358">
        <v>2.5401169512752383E-2</v>
      </c>
      <c r="H94" s="1359"/>
      <c r="I94" s="1359">
        <v>1.4</v>
      </c>
      <c r="J94" s="1359"/>
      <c r="K94" s="1363">
        <f t="shared" si="58"/>
        <v>0</v>
      </c>
      <c r="L94" s="1363"/>
      <c r="M94" s="1359">
        <v>0.91</v>
      </c>
      <c r="N94" s="1359"/>
      <c r="O94" s="1359">
        <v>0.9</v>
      </c>
      <c r="P94" s="1359"/>
      <c r="Q94" s="1359">
        <v>1.0800000000000001E-2</v>
      </c>
      <c r="R94" s="1359"/>
      <c r="S94" s="1363">
        <f t="shared" si="59"/>
        <v>0</v>
      </c>
      <c r="T94" s="1364"/>
      <c r="U94" s="1359">
        <v>0.03</v>
      </c>
      <c r="V94" s="1359"/>
      <c r="W94" s="1363" t="s">
        <v>708</v>
      </c>
      <c r="X94" s="161"/>
      <c r="Y94" s="161"/>
      <c r="Z94" s="1366"/>
      <c r="AA94" s="161"/>
      <c r="AB94" s="161"/>
      <c r="AC94" s="161"/>
      <c r="AD94" s="161"/>
      <c r="AE94" s="161"/>
      <c r="AF94" s="161"/>
      <c r="AG94" s="161"/>
      <c r="AH94" s="161"/>
      <c r="AI94" s="161"/>
      <c r="AJ94" s="161"/>
      <c r="AK94" s="161"/>
      <c r="AL94" s="161"/>
      <c r="AM94" s="161"/>
      <c r="AN94" s="161"/>
      <c r="AO94" s="161"/>
      <c r="AP94" s="161"/>
      <c r="AQ94" s="161"/>
      <c r="AR94" s="161"/>
      <c r="AS94" s="161"/>
      <c r="AT94" s="161"/>
      <c r="AU94" s="161"/>
      <c r="AV94" s="161"/>
      <c r="AW94" s="161"/>
      <c r="AX94" s="161"/>
      <c r="AY94" s="161"/>
    </row>
    <row r="95" spans="1:51" ht="11.25" customHeight="1" x14ac:dyDescent="0.2">
      <c r="A95" s="161"/>
      <c r="B95" s="161" t="s">
        <v>1294</v>
      </c>
      <c r="C95" s="1329" t="s">
        <v>1267</v>
      </c>
      <c r="D95" s="1329"/>
      <c r="E95" s="1356">
        <v>0</v>
      </c>
      <c r="F95" s="1357"/>
      <c r="G95" s="1358">
        <v>1.4514959222223263E-2</v>
      </c>
      <c r="H95" s="1359"/>
      <c r="I95" s="1359">
        <v>1.3</v>
      </c>
      <c r="J95" s="1359"/>
      <c r="K95" s="1363">
        <f t="shared" si="58"/>
        <v>0</v>
      </c>
      <c r="L95" s="1363"/>
      <c r="M95" s="1359">
        <v>0.92</v>
      </c>
      <c r="N95" s="1359"/>
      <c r="O95" s="1359">
        <v>0.9</v>
      </c>
      <c r="P95" s="1359"/>
      <c r="Q95" s="1359">
        <v>7.0000000000000001E-3</v>
      </c>
      <c r="R95" s="1359"/>
      <c r="S95" s="1363">
        <f t="shared" si="59"/>
        <v>0</v>
      </c>
      <c r="T95" s="1364"/>
      <c r="U95" s="1359">
        <v>0.03</v>
      </c>
      <c r="V95" s="1359"/>
      <c r="W95" s="1363" t="s">
        <v>708</v>
      </c>
      <c r="X95" s="161"/>
      <c r="Y95" s="161"/>
      <c r="Z95" s="1366"/>
      <c r="AA95" s="161"/>
      <c r="AB95" s="161"/>
      <c r="AC95" s="161"/>
      <c r="AD95" s="161"/>
      <c r="AE95" s="161"/>
      <c r="AF95" s="161"/>
      <c r="AG95" s="161"/>
      <c r="AH95" s="161"/>
      <c r="AI95" s="161"/>
      <c r="AJ95" s="161"/>
      <c r="AK95" s="161"/>
      <c r="AL95" s="161"/>
      <c r="AM95" s="161"/>
      <c r="AN95" s="161"/>
      <c r="AO95" s="161"/>
      <c r="AP95" s="161"/>
      <c r="AQ95" s="161"/>
      <c r="AR95" s="161"/>
      <c r="AS95" s="161"/>
      <c r="AT95" s="161"/>
      <c r="AU95" s="161"/>
      <c r="AV95" s="161"/>
      <c r="AW95" s="161"/>
      <c r="AX95" s="161"/>
      <c r="AY95" s="161"/>
    </row>
    <row r="96" spans="1:51" ht="11.25" customHeight="1" x14ac:dyDescent="0.2">
      <c r="A96" s="161"/>
      <c r="B96" s="161" t="s">
        <v>1297</v>
      </c>
      <c r="C96" s="1329" t="s">
        <v>1267</v>
      </c>
      <c r="D96" s="1329"/>
      <c r="E96" s="1356">
        <v>0</v>
      </c>
      <c r="F96" s="1357"/>
      <c r="G96" s="1358">
        <v>2.5401046494036766E-2</v>
      </c>
      <c r="H96" s="1359"/>
      <c r="I96" s="1359">
        <v>1.6</v>
      </c>
      <c r="J96" s="1359"/>
      <c r="K96" s="1363">
        <f t="shared" si="58"/>
        <v>0</v>
      </c>
      <c r="L96" s="1363"/>
      <c r="M96" s="1359">
        <v>0.9</v>
      </c>
      <c r="N96" s="1359"/>
      <c r="O96" s="1359">
        <v>0.9</v>
      </c>
      <c r="P96" s="1359"/>
      <c r="Q96" s="1359">
        <v>4.7999999999999996E-3</v>
      </c>
      <c r="R96" s="1359"/>
      <c r="S96" s="1363">
        <f t="shared" si="59"/>
        <v>0</v>
      </c>
      <c r="T96" s="1364"/>
      <c r="U96" s="1359">
        <v>0.03</v>
      </c>
      <c r="V96" s="1359"/>
      <c r="W96" s="1363" t="s">
        <v>708</v>
      </c>
      <c r="X96" s="161"/>
      <c r="Y96" s="161"/>
      <c r="Z96" s="1366"/>
      <c r="AA96" s="161"/>
      <c r="AB96" s="161"/>
      <c r="AC96" s="161"/>
      <c r="AD96" s="161"/>
      <c r="AE96" s="161"/>
      <c r="AF96" s="161"/>
      <c r="AG96" s="161"/>
      <c r="AH96" s="161"/>
      <c r="AI96" s="161"/>
      <c r="AJ96" s="161"/>
      <c r="AK96" s="161"/>
      <c r="AL96" s="161"/>
      <c r="AM96" s="161"/>
      <c r="AN96" s="161"/>
      <c r="AO96" s="161"/>
      <c r="AP96" s="161"/>
      <c r="AQ96" s="161"/>
      <c r="AR96" s="161"/>
      <c r="AS96" s="161"/>
      <c r="AT96" s="161"/>
      <c r="AU96" s="161"/>
      <c r="AV96" s="161"/>
      <c r="AW96" s="161"/>
      <c r="AX96" s="161"/>
      <c r="AY96" s="161"/>
    </row>
    <row r="97" spans="1:51" ht="11.25" customHeight="1" x14ac:dyDescent="0.2">
      <c r="A97" s="161"/>
      <c r="B97" s="161" t="s">
        <v>1301</v>
      </c>
      <c r="C97" s="1329" t="s">
        <v>1267</v>
      </c>
      <c r="D97" s="1329"/>
      <c r="E97" s="1331">
        <v>0</v>
      </c>
      <c r="F97" s="1357"/>
      <c r="G97" s="1358">
        <v>2.7215E-2</v>
      </c>
      <c r="H97" s="1359"/>
      <c r="I97" s="1359">
        <v>1.4</v>
      </c>
      <c r="J97" s="1359"/>
      <c r="K97" s="1363">
        <f t="shared" si="58"/>
        <v>0</v>
      </c>
      <c r="L97" s="1364"/>
      <c r="M97" s="1359">
        <v>0.89</v>
      </c>
      <c r="N97" s="1359"/>
      <c r="O97" s="1359">
        <v>0.89</v>
      </c>
      <c r="P97" s="1359"/>
      <c r="Q97" s="1359">
        <v>7.0000000000000001E-3</v>
      </c>
      <c r="R97" s="1359"/>
      <c r="S97" s="1363">
        <f t="shared" si="59"/>
        <v>0</v>
      </c>
      <c r="T97" s="1364"/>
      <c r="U97" s="1359">
        <v>0.03</v>
      </c>
      <c r="V97" s="1359"/>
      <c r="W97" s="1363" t="s">
        <v>708</v>
      </c>
      <c r="X97" s="161"/>
      <c r="Y97" s="161"/>
      <c r="Z97" s="842"/>
      <c r="AA97" s="161"/>
      <c r="AB97" s="161"/>
      <c r="AC97" s="161"/>
      <c r="AD97" s="161"/>
      <c r="AE97" s="161"/>
      <c r="AF97" s="161"/>
      <c r="AG97" s="161"/>
      <c r="AH97" s="161"/>
      <c r="AI97" s="161"/>
      <c r="AJ97" s="161"/>
      <c r="AK97" s="161"/>
      <c r="AL97" s="161"/>
      <c r="AM97" s="161"/>
      <c r="AN97" s="161"/>
      <c r="AO97" s="161"/>
      <c r="AP97" s="161"/>
      <c r="AQ97" s="161"/>
      <c r="AR97" s="161"/>
      <c r="AS97" s="161"/>
      <c r="AT97" s="161"/>
      <c r="AU97" s="161"/>
      <c r="AV97" s="161"/>
      <c r="AW97" s="161"/>
      <c r="AX97" s="161"/>
      <c r="AY97" s="161"/>
    </row>
    <row r="98" spans="1:51" ht="33.75" customHeight="1" x14ac:dyDescent="0.2">
      <c r="A98" s="161"/>
      <c r="B98" s="161" t="s">
        <v>1305</v>
      </c>
      <c r="C98" s="1329" t="s">
        <v>1306</v>
      </c>
      <c r="D98" s="1329"/>
      <c r="E98" s="1356">
        <v>0</v>
      </c>
      <c r="F98" s="1357"/>
      <c r="G98" s="1358" t="s">
        <v>708</v>
      </c>
      <c r="H98" s="1359"/>
      <c r="I98" s="1359">
        <v>1.4</v>
      </c>
      <c r="J98" s="1359"/>
      <c r="K98" s="1363">
        <f>(E98*0.454)*100</f>
        <v>0</v>
      </c>
      <c r="L98" s="1363"/>
      <c r="M98" s="1359">
        <v>0.91</v>
      </c>
      <c r="N98" s="1359"/>
      <c r="O98" s="1359">
        <v>1</v>
      </c>
      <c r="P98" s="1359"/>
      <c r="Q98" s="1359">
        <v>7.1999999999999998E-3</v>
      </c>
      <c r="R98" s="1359"/>
      <c r="S98" s="1363">
        <f t="shared" si="59"/>
        <v>0</v>
      </c>
      <c r="T98" s="1364"/>
      <c r="U98" s="1359">
        <v>0.03</v>
      </c>
      <c r="V98" s="1359"/>
      <c r="W98" s="1363" t="s">
        <v>708</v>
      </c>
      <c r="X98" s="161"/>
      <c r="Y98" s="161"/>
      <c r="Z98" s="1366"/>
      <c r="AA98" s="161"/>
      <c r="AB98" s="161"/>
      <c r="AC98" s="161"/>
      <c r="AD98" s="161"/>
      <c r="AE98" s="161"/>
      <c r="AF98" s="161"/>
      <c r="AG98" s="161"/>
      <c r="AH98" s="161"/>
      <c r="AI98" s="161"/>
      <c r="AJ98" s="161"/>
      <c r="AK98" s="161"/>
      <c r="AL98" s="161"/>
      <c r="AM98" s="161"/>
      <c r="AN98" s="161"/>
      <c r="AO98" s="161"/>
      <c r="AP98" s="161"/>
      <c r="AQ98" s="161"/>
      <c r="AR98" s="161"/>
      <c r="AS98" s="161"/>
      <c r="AT98" s="161"/>
      <c r="AU98" s="161"/>
      <c r="AV98" s="161"/>
      <c r="AW98" s="161"/>
      <c r="AX98" s="161"/>
      <c r="AY98" s="161"/>
    </row>
    <row r="99" spans="1:51" ht="11.25" customHeight="1" x14ac:dyDescent="0.2">
      <c r="A99" s="161"/>
      <c r="B99" s="161" t="s">
        <v>1315</v>
      </c>
      <c r="C99" s="1329" t="s">
        <v>1267</v>
      </c>
      <c r="D99" s="1329"/>
      <c r="E99" s="1356">
        <v>15810</v>
      </c>
      <c r="F99" s="1357"/>
      <c r="G99" s="1358">
        <v>2.7215692074999999E-2</v>
      </c>
      <c r="H99" s="1359"/>
      <c r="I99" s="1359">
        <v>2.1</v>
      </c>
      <c r="J99" s="1359"/>
      <c r="K99" s="1363">
        <f>E99*1000*G99</f>
        <v>430280.09170574998</v>
      </c>
      <c r="L99" s="1363"/>
      <c r="M99" s="1359">
        <v>0.87</v>
      </c>
      <c r="N99" s="1359"/>
      <c r="O99" s="1359">
        <v>0.9</v>
      </c>
      <c r="P99" s="1359"/>
      <c r="Q99" s="1359">
        <v>2.3E-2</v>
      </c>
      <c r="R99" s="1359"/>
      <c r="S99" s="1363">
        <f t="shared" si="59"/>
        <v>16272719.760210589</v>
      </c>
      <c r="T99" s="1364"/>
      <c r="U99" s="1359">
        <v>0.03</v>
      </c>
      <c r="V99" s="1359"/>
      <c r="W99" s="1363">
        <f t="shared" ref="W99:W110" si="60">(K99*1000)*(1+I99)*M99*U99</f>
        <v>34813962.219912231</v>
      </c>
      <c r="X99" s="161"/>
      <c r="Y99" s="161"/>
      <c r="Z99" s="1366"/>
      <c r="AA99" s="161"/>
      <c r="AB99" s="161"/>
      <c r="AC99" s="161"/>
      <c r="AD99" s="161"/>
      <c r="AE99" s="161"/>
      <c r="AF99" s="161"/>
      <c r="AG99" s="161"/>
      <c r="AH99" s="161"/>
      <c r="AI99" s="161"/>
      <c r="AJ99" s="161"/>
      <c r="AK99" s="161"/>
      <c r="AL99" s="161"/>
      <c r="AM99" s="161"/>
      <c r="AN99" s="161"/>
      <c r="AO99" s="161"/>
      <c r="AP99" s="161"/>
      <c r="AQ99" s="161"/>
      <c r="AR99" s="161"/>
      <c r="AS99" s="161"/>
      <c r="AT99" s="161"/>
      <c r="AU99" s="161"/>
      <c r="AV99" s="161"/>
      <c r="AW99" s="161"/>
      <c r="AX99" s="161"/>
      <c r="AY99" s="161"/>
    </row>
    <row r="100" spans="1:51" ht="11.25" customHeight="1" x14ac:dyDescent="0.2">
      <c r="A100" s="161"/>
      <c r="B100" s="161" t="s">
        <v>1323</v>
      </c>
      <c r="C100" s="1329" t="s">
        <v>1324</v>
      </c>
      <c r="D100" s="1329"/>
      <c r="E100" s="1356">
        <v>0</v>
      </c>
      <c r="F100" s="1357"/>
      <c r="G100" s="1358" t="s">
        <v>708</v>
      </c>
      <c r="H100" s="1359"/>
      <c r="I100" s="1359">
        <v>1</v>
      </c>
      <c r="J100" s="1359"/>
      <c r="K100" s="1363">
        <f>(E100*1000/2000*0.9072)</f>
        <v>0</v>
      </c>
      <c r="L100" s="1363"/>
      <c r="M100" s="1359">
        <v>0.86</v>
      </c>
      <c r="N100" s="1359"/>
      <c r="O100" s="1359">
        <v>0.9</v>
      </c>
      <c r="P100" s="1359"/>
      <c r="Q100" s="1359">
        <v>1.06E-2</v>
      </c>
      <c r="R100" s="1359"/>
      <c r="S100" s="1363">
        <f t="shared" si="59"/>
        <v>0</v>
      </c>
      <c r="T100" s="1364"/>
      <c r="U100" s="1359">
        <v>0.03</v>
      </c>
      <c r="V100" s="1359"/>
      <c r="W100" s="1363">
        <f t="shared" si="60"/>
        <v>0</v>
      </c>
      <c r="X100" s="161"/>
      <c r="Y100" s="161"/>
      <c r="Z100" s="1366"/>
      <c r="AA100" s="161"/>
      <c r="AB100" s="161"/>
      <c r="AC100" s="161"/>
      <c r="AD100" s="161"/>
      <c r="AE100" s="161"/>
      <c r="AF100" s="161"/>
      <c r="AG100" s="161"/>
      <c r="AH100" s="161"/>
      <c r="AI100" s="161"/>
      <c r="AJ100" s="161"/>
      <c r="AK100" s="161"/>
      <c r="AL100" s="161"/>
      <c r="AM100" s="161"/>
      <c r="AN100" s="161"/>
      <c r="AO100" s="161"/>
      <c r="AP100" s="161"/>
      <c r="AQ100" s="161"/>
      <c r="AR100" s="161"/>
      <c r="AS100" s="161"/>
      <c r="AT100" s="161"/>
      <c r="AU100" s="161"/>
      <c r="AV100" s="161"/>
      <c r="AW100" s="161"/>
      <c r="AX100" s="161"/>
      <c r="AY100" s="161"/>
    </row>
    <row r="101" spans="1:51" ht="33.75" customHeight="1" x14ac:dyDescent="0.2">
      <c r="A101" s="161"/>
      <c r="B101" s="161" t="s">
        <v>1326</v>
      </c>
      <c r="C101" s="1329" t="s">
        <v>1306</v>
      </c>
      <c r="D101" s="1329"/>
      <c r="E101" s="1356">
        <v>0</v>
      </c>
      <c r="F101" s="1357"/>
      <c r="G101" s="1358" t="s">
        <v>708</v>
      </c>
      <c r="H101" s="1359"/>
      <c r="I101" s="1359">
        <v>2.1</v>
      </c>
      <c r="J101" s="1359"/>
      <c r="K101" s="1363">
        <f t="shared" ref="K101:K105" si="61">(E101*0.454)*100</f>
        <v>0</v>
      </c>
      <c r="L101" s="1363"/>
      <c r="M101" s="1359">
        <v>0.87</v>
      </c>
      <c r="N101" s="1359"/>
      <c r="O101" s="1359">
        <v>1.55</v>
      </c>
      <c r="P101" s="1359"/>
      <c r="Q101" s="1359">
        <v>1.6799999999999999E-2</v>
      </c>
      <c r="R101" s="1359"/>
      <c r="S101" s="1363">
        <f t="shared" si="59"/>
        <v>0</v>
      </c>
      <c r="T101" s="1364"/>
      <c r="U101" s="1359">
        <v>0.03</v>
      </c>
      <c r="V101" s="1359"/>
      <c r="W101" s="1363">
        <f t="shared" si="60"/>
        <v>0</v>
      </c>
      <c r="X101" s="161"/>
      <c r="Y101" s="161"/>
      <c r="Z101" s="1366"/>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row>
    <row r="102" spans="1:51" ht="33.75" customHeight="1" x14ac:dyDescent="0.2">
      <c r="A102" s="161"/>
      <c r="B102" s="161" t="s">
        <v>1329</v>
      </c>
      <c r="C102" s="1329" t="s">
        <v>1306</v>
      </c>
      <c r="D102" s="1329"/>
      <c r="E102" s="1356">
        <v>0</v>
      </c>
      <c r="F102" s="1357"/>
      <c r="G102" s="1358" t="s">
        <v>708</v>
      </c>
      <c r="H102" s="1359"/>
      <c r="I102" s="1359">
        <v>1.5</v>
      </c>
      <c r="J102" s="1359"/>
      <c r="K102" s="1363">
        <f t="shared" si="61"/>
        <v>0</v>
      </c>
      <c r="L102" s="1363"/>
      <c r="M102" s="1359">
        <v>0.87</v>
      </c>
      <c r="N102" s="1359"/>
      <c r="O102" s="1359">
        <v>0.9</v>
      </c>
      <c r="P102" s="1359"/>
      <c r="Q102" s="1359">
        <v>1.6799999999999999E-2</v>
      </c>
      <c r="R102" s="1359"/>
      <c r="S102" s="1363">
        <f t="shared" si="59"/>
        <v>0</v>
      </c>
      <c r="T102" s="1364"/>
      <c r="U102" s="1359">
        <v>0.03</v>
      </c>
      <c r="V102" s="1359"/>
      <c r="W102" s="1363">
        <f t="shared" si="60"/>
        <v>0</v>
      </c>
      <c r="X102" s="161"/>
      <c r="Y102" s="161"/>
      <c r="Z102" s="1366"/>
      <c r="AA102" s="161"/>
      <c r="AB102" s="161"/>
      <c r="AC102" s="161"/>
      <c r="AD102" s="161"/>
      <c r="AE102" s="161"/>
      <c r="AF102" s="161"/>
      <c r="AG102" s="161"/>
      <c r="AH102" s="161"/>
      <c r="AI102" s="161"/>
      <c r="AJ102" s="161"/>
      <c r="AK102" s="161"/>
      <c r="AL102" s="161"/>
      <c r="AM102" s="161"/>
      <c r="AN102" s="161"/>
      <c r="AO102" s="161"/>
      <c r="AP102" s="161"/>
      <c r="AQ102" s="161"/>
      <c r="AR102" s="161"/>
      <c r="AS102" s="161"/>
      <c r="AT102" s="161"/>
      <c r="AU102" s="161"/>
      <c r="AV102" s="161"/>
      <c r="AW102" s="161"/>
      <c r="AX102" s="161"/>
      <c r="AY102" s="161"/>
    </row>
    <row r="103" spans="1:51" ht="33.75" customHeight="1" x14ac:dyDescent="0.2">
      <c r="A103" s="161"/>
      <c r="B103" s="1377" t="s">
        <v>1334</v>
      </c>
      <c r="C103" s="1329" t="s">
        <v>1306</v>
      </c>
      <c r="D103" s="1329"/>
      <c r="E103" s="1356">
        <v>0</v>
      </c>
      <c r="F103" s="1357"/>
      <c r="G103" s="1358" t="s">
        <v>708</v>
      </c>
      <c r="H103" s="1359"/>
      <c r="I103" s="1359">
        <v>1.5</v>
      </c>
      <c r="J103" s="1359"/>
      <c r="K103" s="1363">
        <f t="shared" si="61"/>
        <v>0</v>
      </c>
      <c r="L103" s="1363"/>
      <c r="M103" s="1359">
        <v>0.87</v>
      </c>
      <c r="N103" s="1359"/>
      <c r="O103" s="1359">
        <v>0.9</v>
      </c>
      <c r="P103" s="1359"/>
      <c r="Q103" s="1359">
        <v>1.6799999999999999E-2</v>
      </c>
      <c r="R103" s="1359"/>
      <c r="S103" s="1363">
        <f t="shared" si="59"/>
        <v>0</v>
      </c>
      <c r="T103" s="1364"/>
      <c r="U103" s="1359">
        <v>0.03</v>
      </c>
      <c r="V103" s="1359"/>
      <c r="W103" s="1363">
        <f t="shared" si="60"/>
        <v>0</v>
      </c>
      <c r="X103" s="161"/>
      <c r="Y103" s="161"/>
      <c r="Z103" s="1366"/>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c r="AU103" s="161"/>
      <c r="AV103" s="161"/>
      <c r="AW103" s="161"/>
      <c r="AX103" s="161"/>
      <c r="AY103" s="161"/>
    </row>
    <row r="104" spans="1:51" ht="33.75" customHeight="1" x14ac:dyDescent="0.2">
      <c r="A104" s="161"/>
      <c r="B104" s="1377" t="s">
        <v>1338</v>
      </c>
      <c r="C104" s="1329" t="s">
        <v>1306</v>
      </c>
      <c r="D104" s="1329"/>
      <c r="E104" s="1356">
        <v>0</v>
      </c>
      <c r="F104" s="1357"/>
      <c r="G104" s="1358" t="s">
        <v>708</v>
      </c>
      <c r="H104" s="1359"/>
      <c r="I104" s="1359">
        <v>2.1</v>
      </c>
      <c r="J104" s="1359"/>
      <c r="K104" s="1363">
        <f t="shared" si="61"/>
        <v>0</v>
      </c>
      <c r="L104" s="1363"/>
      <c r="M104" s="1359">
        <v>0.87</v>
      </c>
      <c r="N104" s="1359"/>
      <c r="O104" s="1359">
        <v>1.55</v>
      </c>
      <c r="P104" s="1359"/>
      <c r="Q104" s="1359">
        <v>1.6799999999999999E-2</v>
      </c>
      <c r="R104" s="1359"/>
      <c r="S104" s="1363">
        <f t="shared" si="59"/>
        <v>0</v>
      </c>
      <c r="T104" s="1364"/>
      <c r="U104" s="1359">
        <v>0.03</v>
      </c>
      <c r="V104" s="1359"/>
      <c r="W104" s="1363">
        <f t="shared" si="60"/>
        <v>0</v>
      </c>
      <c r="X104" s="161"/>
      <c r="Y104" s="1378"/>
      <c r="Z104" s="1366"/>
      <c r="AA104" s="161"/>
      <c r="AB104" s="161"/>
      <c r="AC104" s="161"/>
      <c r="AD104" s="161"/>
      <c r="AE104" s="161"/>
      <c r="AF104" s="161"/>
      <c r="AG104" s="161"/>
      <c r="AH104" s="161"/>
      <c r="AI104" s="161"/>
      <c r="AJ104" s="161"/>
      <c r="AK104" s="161"/>
      <c r="AL104" s="161"/>
      <c r="AM104" s="161"/>
      <c r="AN104" s="161"/>
      <c r="AO104" s="161"/>
      <c r="AP104" s="161"/>
      <c r="AQ104" s="161"/>
      <c r="AR104" s="161"/>
      <c r="AS104" s="161"/>
      <c r="AT104" s="161"/>
      <c r="AU104" s="161"/>
      <c r="AV104" s="161"/>
      <c r="AW104" s="161"/>
      <c r="AX104" s="161"/>
      <c r="AY104" s="161"/>
    </row>
    <row r="105" spans="1:51" ht="33.75" customHeight="1" x14ac:dyDescent="0.2">
      <c r="A105" s="161"/>
      <c r="B105" s="1377" t="s">
        <v>1340</v>
      </c>
      <c r="C105" s="1329" t="s">
        <v>1306</v>
      </c>
      <c r="D105" s="1329"/>
      <c r="E105" s="1356">
        <v>0</v>
      </c>
      <c r="F105" s="1357"/>
      <c r="G105" s="1358" t="s">
        <v>708</v>
      </c>
      <c r="H105" s="1359"/>
      <c r="I105" s="1359">
        <v>1.5</v>
      </c>
      <c r="J105" s="1359"/>
      <c r="K105" s="1363">
        <f t="shared" si="61"/>
        <v>0</v>
      </c>
      <c r="L105" s="1363"/>
      <c r="M105" s="1359">
        <v>0.87</v>
      </c>
      <c r="N105" s="1359"/>
      <c r="O105" s="1359">
        <v>0.9</v>
      </c>
      <c r="P105" s="1359"/>
      <c r="Q105" s="1359">
        <v>1.6799999999999999E-2</v>
      </c>
      <c r="R105" s="1359"/>
      <c r="S105" s="1363">
        <f t="shared" si="59"/>
        <v>0</v>
      </c>
      <c r="T105" s="1364"/>
      <c r="U105" s="1359">
        <v>0.03</v>
      </c>
      <c r="V105" s="1359"/>
      <c r="W105" s="1363">
        <f t="shared" si="60"/>
        <v>0</v>
      </c>
      <c r="X105" s="161"/>
      <c r="Y105" s="1378"/>
      <c r="Z105" s="1366"/>
      <c r="AA105" s="161"/>
      <c r="AB105" s="161"/>
      <c r="AC105" s="161"/>
      <c r="AD105" s="161"/>
      <c r="AE105" s="161"/>
      <c r="AF105" s="161"/>
      <c r="AG105" s="161"/>
      <c r="AH105" s="161"/>
      <c r="AI105" s="161"/>
      <c r="AJ105" s="161"/>
      <c r="AK105" s="161"/>
      <c r="AL105" s="161"/>
      <c r="AM105" s="161"/>
      <c r="AN105" s="161"/>
      <c r="AO105" s="161"/>
      <c r="AP105" s="161"/>
      <c r="AQ105" s="161"/>
      <c r="AR105" s="161"/>
      <c r="AS105" s="161"/>
      <c r="AT105" s="161"/>
      <c r="AU105" s="161"/>
      <c r="AV105" s="161"/>
      <c r="AW105" s="161"/>
      <c r="AX105" s="161"/>
      <c r="AY105" s="161"/>
    </row>
    <row r="106" spans="1:51" ht="11.25" customHeight="1" x14ac:dyDescent="0.2">
      <c r="A106" s="161"/>
      <c r="B106" s="1377" t="s">
        <v>1343</v>
      </c>
      <c r="C106" s="1329" t="s">
        <v>1344</v>
      </c>
      <c r="D106" s="1329"/>
      <c r="E106" s="1331"/>
      <c r="F106" s="1357"/>
      <c r="G106" s="1358" t="s">
        <v>708</v>
      </c>
      <c r="H106" s="1359"/>
      <c r="I106" s="1359"/>
      <c r="J106" s="1359"/>
      <c r="K106" s="1363">
        <f t="shared" ref="K106:K110" si="62">E106</f>
        <v>0</v>
      </c>
      <c r="L106" s="1364"/>
      <c r="M106" s="1359"/>
      <c r="N106" s="1359"/>
      <c r="O106" s="1359"/>
      <c r="P106" s="1359"/>
      <c r="Q106" s="1359"/>
      <c r="R106" s="1359"/>
      <c r="S106" s="1363" t="s">
        <v>708</v>
      </c>
      <c r="T106" s="1364"/>
      <c r="U106" s="1359">
        <v>0.03</v>
      </c>
      <c r="V106" s="1359"/>
      <c r="W106" s="1363">
        <f t="shared" si="60"/>
        <v>0</v>
      </c>
      <c r="X106" s="161"/>
      <c r="Y106" s="1378"/>
      <c r="Z106" s="1366"/>
      <c r="AA106" s="161"/>
      <c r="AB106" s="161"/>
      <c r="AC106" s="161"/>
      <c r="AD106" s="161"/>
      <c r="AE106" s="161"/>
      <c r="AF106" s="161"/>
      <c r="AG106" s="161"/>
      <c r="AH106" s="161"/>
      <c r="AI106" s="161"/>
      <c r="AJ106" s="161"/>
      <c r="AK106" s="161"/>
      <c r="AL106" s="161"/>
      <c r="AM106" s="161"/>
      <c r="AN106" s="161"/>
      <c r="AO106" s="161"/>
      <c r="AP106" s="161"/>
      <c r="AQ106" s="161"/>
      <c r="AR106" s="161"/>
      <c r="AS106" s="161"/>
      <c r="AT106" s="161"/>
      <c r="AU106" s="161"/>
      <c r="AV106" s="161"/>
      <c r="AW106" s="161"/>
      <c r="AX106" s="161"/>
      <c r="AY106" s="161"/>
    </row>
    <row r="107" spans="1:51" ht="11.25" customHeight="1" x14ac:dyDescent="0.2">
      <c r="A107" s="161"/>
      <c r="B107" s="1377" t="s">
        <v>1347</v>
      </c>
      <c r="C107" s="1329" t="s">
        <v>1344</v>
      </c>
      <c r="D107" s="1329"/>
      <c r="E107" s="1331"/>
      <c r="F107" s="1357"/>
      <c r="G107" s="1358" t="s">
        <v>708</v>
      </c>
      <c r="H107" s="1359"/>
      <c r="I107" s="1359"/>
      <c r="J107" s="1359"/>
      <c r="K107" s="1363">
        <f t="shared" si="62"/>
        <v>0</v>
      </c>
      <c r="L107" s="1364"/>
      <c r="M107" s="1359"/>
      <c r="N107" s="1359"/>
      <c r="O107" s="1359"/>
      <c r="P107" s="1359"/>
      <c r="Q107" s="1359"/>
      <c r="R107" s="1359"/>
      <c r="S107" s="1363" t="s">
        <v>708</v>
      </c>
      <c r="T107" s="1364"/>
      <c r="U107" s="1359">
        <v>0.03</v>
      </c>
      <c r="V107" s="1359"/>
      <c r="W107" s="1363">
        <f t="shared" si="60"/>
        <v>0</v>
      </c>
      <c r="X107" s="161"/>
      <c r="Y107" s="1378"/>
      <c r="Z107" s="1366"/>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c r="AU107" s="161"/>
      <c r="AV107" s="161"/>
      <c r="AW107" s="161"/>
      <c r="AX107" s="161"/>
      <c r="AY107" s="161"/>
    </row>
    <row r="108" spans="1:51" ht="11.25" customHeight="1" x14ac:dyDescent="0.2">
      <c r="A108" s="161"/>
      <c r="B108" s="1377" t="s">
        <v>1352</v>
      </c>
      <c r="C108" s="1329" t="s">
        <v>1344</v>
      </c>
      <c r="D108" s="1329"/>
      <c r="E108" s="1331"/>
      <c r="F108" s="1357"/>
      <c r="G108" s="1358" t="s">
        <v>708</v>
      </c>
      <c r="H108" s="1359"/>
      <c r="I108" s="1359"/>
      <c r="J108" s="1359"/>
      <c r="K108" s="1363">
        <f t="shared" si="62"/>
        <v>0</v>
      </c>
      <c r="L108" s="1364"/>
      <c r="M108" s="1359"/>
      <c r="N108" s="1359"/>
      <c r="O108" s="1359"/>
      <c r="P108" s="1359"/>
      <c r="Q108" s="1359"/>
      <c r="R108" s="1359"/>
      <c r="S108" s="1363" t="s">
        <v>708</v>
      </c>
      <c r="T108" s="1364"/>
      <c r="U108" s="1359">
        <v>0.03</v>
      </c>
      <c r="V108" s="1359"/>
      <c r="W108" s="1363">
        <f t="shared" si="60"/>
        <v>0</v>
      </c>
      <c r="X108" s="161"/>
      <c r="Y108" s="1378"/>
      <c r="Z108" s="1366"/>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c r="AU108" s="161"/>
      <c r="AV108" s="161"/>
      <c r="AW108" s="161"/>
      <c r="AX108" s="161"/>
      <c r="AY108" s="161"/>
    </row>
    <row r="109" spans="1:51" ht="11.25" customHeight="1" x14ac:dyDescent="0.2">
      <c r="A109" s="161"/>
      <c r="B109" s="1377" t="s">
        <v>1353</v>
      </c>
      <c r="C109" s="1329" t="s">
        <v>1344</v>
      </c>
      <c r="D109" s="1329"/>
      <c r="E109" s="1331"/>
      <c r="F109" s="1357"/>
      <c r="G109" s="1358" t="s">
        <v>708</v>
      </c>
      <c r="H109" s="1359"/>
      <c r="I109" s="1359"/>
      <c r="J109" s="1359"/>
      <c r="K109" s="1363">
        <f t="shared" si="62"/>
        <v>0</v>
      </c>
      <c r="L109" s="1364"/>
      <c r="M109" s="1359"/>
      <c r="N109" s="1359"/>
      <c r="O109" s="1359"/>
      <c r="P109" s="1359"/>
      <c r="Q109" s="1359"/>
      <c r="R109" s="1359"/>
      <c r="S109" s="1363" t="s">
        <v>708</v>
      </c>
      <c r="T109" s="1364"/>
      <c r="U109" s="1359">
        <v>0.03</v>
      </c>
      <c r="V109" s="1359"/>
      <c r="W109" s="1363">
        <f t="shared" si="60"/>
        <v>0</v>
      </c>
      <c r="X109" s="161"/>
      <c r="Y109" s="1378"/>
      <c r="Z109" s="1366"/>
      <c r="AA109" s="161"/>
      <c r="AB109" s="161"/>
      <c r="AC109" s="161"/>
      <c r="AD109" s="161"/>
      <c r="AE109" s="161"/>
      <c r="AF109" s="161"/>
      <c r="AG109" s="161"/>
      <c r="AH109" s="161"/>
      <c r="AI109" s="161"/>
      <c r="AJ109" s="161"/>
      <c r="AK109" s="161"/>
      <c r="AL109" s="161"/>
      <c r="AM109" s="161"/>
      <c r="AN109" s="161"/>
      <c r="AO109" s="161"/>
      <c r="AP109" s="161"/>
      <c r="AQ109" s="161"/>
      <c r="AR109" s="161"/>
      <c r="AS109" s="161"/>
      <c r="AT109" s="161"/>
      <c r="AU109" s="161"/>
      <c r="AV109" s="161"/>
      <c r="AW109" s="161"/>
      <c r="AX109" s="161"/>
      <c r="AY109" s="161"/>
    </row>
    <row r="110" spans="1:51" ht="11.25" customHeight="1" x14ac:dyDescent="0.2">
      <c r="A110" s="161"/>
      <c r="B110" s="1377" t="s">
        <v>1355</v>
      </c>
      <c r="C110" s="1329" t="s">
        <v>1344</v>
      </c>
      <c r="D110" s="1329"/>
      <c r="E110" s="1331"/>
      <c r="F110" s="1357"/>
      <c r="G110" s="1358" t="s">
        <v>708</v>
      </c>
      <c r="H110" s="1359"/>
      <c r="I110" s="1359"/>
      <c r="J110" s="1359"/>
      <c r="K110" s="1379">
        <f t="shared" si="62"/>
        <v>0</v>
      </c>
      <c r="L110" s="1364"/>
      <c r="M110" s="1359"/>
      <c r="N110" s="1359"/>
      <c r="O110" s="1359"/>
      <c r="P110" s="1359"/>
      <c r="Q110" s="1359"/>
      <c r="R110" s="1359"/>
      <c r="S110" s="1379" t="s">
        <v>708</v>
      </c>
      <c r="T110" s="1364"/>
      <c r="U110" s="1359">
        <v>0.03</v>
      </c>
      <c r="V110" s="1359"/>
      <c r="W110" s="1379">
        <f t="shared" si="60"/>
        <v>0</v>
      </c>
      <c r="X110" s="161"/>
      <c r="Y110" s="1378"/>
      <c r="Z110" s="1366"/>
      <c r="AA110" s="161"/>
      <c r="AB110" s="161"/>
      <c r="AC110" s="161"/>
      <c r="AD110" s="161"/>
      <c r="AE110" s="161"/>
      <c r="AF110" s="161"/>
      <c r="AG110" s="161"/>
      <c r="AH110" s="161"/>
      <c r="AI110" s="161"/>
      <c r="AJ110" s="161"/>
      <c r="AK110" s="161"/>
      <c r="AL110" s="161"/>
      <c r="AM110" s="161"/>
      <c r="AN110" s="161"/>
      <c r="AO110" s="161"/>
      <c r="AP110" s="161"/>
      <c r="AQ110" s="161"/>
      <c r="AR110" s="161"/>
      <c r="AS110" s="161"/>
      <c r="AT110" s="161"/>
      <c r="AU110" s="161"/>
      <c r="AV110" s="161"/>
      <c r="AW110" s="161"/>
      <c r="AX110" s="161"/>
      <c r="AY110" s="161"/>
    </row>
    <row r="111" spans="1:51" ht="11.25" customHeight="1" x14ac:dyDescent="0.2">
      <c r="A111" s="161"/>
      <c r="B111" s="656" t="s">
        <v>907</v>
      </c>
      <c r="C111" s="656"/>
      <c r="D111" s="656"/>
      <c r="E111" s="161"/>
      <c r="F111" s="161"/>
      <c r="G111" s="161"/>
      <c r="H111" s="161"/>
      <c r="I111" s="161"/>
      <c r="J111" s="161"/>
      <c r="K111" s="1380">
        <f>SUM(K90:K110)</f>
        <v>2396707.0319240498</v>
      </c>
      <c r="L111" s="1381"/>
      <c r="M111" s="1072"/>
      <c r="N111" s="161"/>
      <c r="O111" s="161"/>
      <c r="P111" s="161"/>
      <c r="Q111" s="161"/>
      <c r="R111" s="161"/>
      <c r="S111" s="1380">
        <f>SUM(S90:S105)</f>
        <v>25583969.872857481</v>
      </c>
      <c r="T111" s="1384"/>
      <c r="U111" s="161"/>
      <c r="V111" s="161"/>
      <c r="W111" s="1387">
        <f>SUM(W90:W110)</f>
        <v>38422803.819912232</v>
      </c>
      <c r="X111" s="161"/>
      <c r="Y111" s="161"/>
      <c r="Z111" s="1366"/>
      <c r="AA111" s="161"/>
      <c r="AB111" s="161"/>
      <c r="AC111" s="161"/>
      <c r="AD111" s="161"/>
      <c r="AE111" s="161"/>
      <c r="AF111" s="161"/>
      <c r="AG111" s="161"/>
      <c r="AH111" s="161"/>
      <c r="AI111" s="161"/>
      <c r="AJ111" s="161"/>
      <c r="AK111" s="161"/>
      <c r="AL111" s="161"/>
      <c r="AM111" s="161"/>
      <c r="AN111" s="161"/>
      <c r="AO111" s="161"/>
      <c r="AP111" s="161"/>
      <c r="AQ111" s="161"/>
      <c r="AR111" s="161"/>
      <c r="AS111" s="161"/>
      <c r="AT111" s="161"/>
      <c r="AU111" s="161"/>
      <c r="AV111" s="161"/>
      <c r="AW111" s="161"/>
      <c r="AX111" s="161"/>
      <c r="AY111" s="161"/>
    </row>
    <row r="112" spans="1:51" ht="12" customHeight="1" x14ac:dyDescent="0.2">
      <c r="A112" s="74"/>
      <c r="B112" s="1061"/>
      <c r="C112" s="1062"/>
      <c r="D112" s="1063"/>
      <c r="E112" s="1063"/>
      <c r="F112" s="1063"/>
      <c r="G112" s="1064"/>
      <c r="H112" s="1065"/>
      <c r="I112" s="1066"/>
      <c r="J112" s="1065"/>
      <c r="K112" s="1067"/>
      <c r="L112" s="74"/>
      <c r="M112" s="1067"/>
      <c r="N112" s="74"/>
      <c r="O112" s="74"/>
      <c r="P112" s="74"/>
      <c r="Q112" s="74"/>
      <c r="R112" s="74"/>
      <c r="S112" s="74"/>
      <c r="T112" s="74"/>
      <c r="U112" s="74"/>
    </row>
    <row r="113" spans="1:51" ht="19.5" customHeight="1" x14ac:dyDescent="0.4">
      <c r="B113" s="1304" t="s">
        <v>1360</v>
      </c>
      <c r="C113" s="1068"/>
      <c r="D113" s="1069"/>
      <c r="E113" s="1069"/>
      <c r="F113" s="1069"/>
      <c r="G113" s="1070"/>
      <c r="H113" s="297"/>
      <c r="I113" s="1071"/>
      <c r="J113" s="297"/>
      <c r="K113" s="1072"/>
      <c r="M113" s="1072"/>
    </row>
    <row r="114" spans="1:51" ht="11.25" customHeight="1" x14ac:dyDescent="0.2">
      <c r="A114" s="161"/>
      <c r="B114" s="1391" t="s">
        <v>1362</v>
      </c>
      <c r="C114" s="1392">
        <v>2006</v>
      </c>
      <c r="D114" s="1309"/>
      <c r="E114" s="1309"/>
      <c r="F114" s="1309"/>
      <c r="G114" s="1309"/>
      <c r="H114" s="1309"/>
      <c r="I114" s="1309"/>
      <c r="J114" s="1309"/>
      <c r="K114" s="1309"/>
      <c r="L114" s="1309"/>
      <c r="M114" s="1309"/>
      <c r="N114" s="1306"/>
      <c r="O114" s="1306"/>
      <c r="P114" s="1306"/>
      <c r="Q114" s="1306"/>
      <c r="R114" s="1306"/>
      <c r="S114" s="1306"/>
      <c r="T114" s="1306"/>
      <c r="U114" s="1306"/>
      <c r="V114" s="1306"/>
      <c r="W114" s="1306"/>
      <c r="X114" s="1306"/>
      <c r="Y114" s="1306"/>
      <c r="Z114" s="1306"/>
      <c r="AA114" s="1306"/>
      <c r="AB114" s="1306"/>
      <c r="AC114" s="1306"/>
      <c r="AD114" s="1306"/>
      <c r="AE114" s="663"/>
      <c r="AF114" s="161"/>
      <c r="AG114" s="161"/>
      <c r="AH114" s="161"/>
      <c r="AI114" s="161"/>
      <c r="AJ114" s="161"/>
      <c r="AK114" s="161"/>
      <c r="AL114" s="161"/>
      <c r="AM114" s="161"/>
      <c r="AN114" s="161"/>
      <c r="AO114" s="161"/>
      <c r="AP114" s="161"/>
      <c r="AQ114" s="161"/>
      <c r="AR114" s="161"/>
      <c r="AS114" s="161"/>
      <c r="AT114" s="161"/>
      <c r="AU114" s="161"/>
      <c r="AV114" s="161"/>
      <c r="AW114" s="161"/>
      <c r="AX114" s="161"/>
      <c r="AY114" s="161"/>
    </row>
    <row r="115" spans="1:51" ht="47.25" customHeight="1" x14ac:dyDescent="0.2">
      <c r="A115" s="805"/>
      <c r="B115" s="1396" t="s">
        <v>1364</v>
      </c>
      <c r="C115" s="1397" t="s">
        <v>1365</v>
      </c>
      <c r="D115" s="1397"/>
      <c r="E115" s="1397" t="s">
        <v>1366</v>
      </c>
      <c r="F115" s="1397"/>
      <c r="G115" s="806" t="s">
        <v>1367</v>
      </c>
      <c r="H115" s="805"/>
      <c r="I115" s="1328" t="s">
        <v>1368</v>
      </c>
      <c r="J115" s="805"/>
      <c r="K115" s="1397" t="s">
        <v>1369</v>
      </c>
      <c r="L115" s="1397"/>
      <c r="M115" s="1397" t="s">
        <v>1370</v>
      </c>
      <c r="N115" s="1397"/>
      <c r="O115" s="806" t="s">
        <v>1372</v>
      </c>
      <c r="P115" s="1397"/>
      <c r="Q115" s="806" t="s">
        <v>1373</v>
      </c>
      <c r="R115" s="1398"/>
      <c r="S115" s="1399" t="s">
        <v>1374</v>
      </c>
      <c r="T115" s="1398"/>
      <c r="U115" s="1399" t="s">
        <v>1375</v>
      </c>
      <c r="V115" s="1398"/>
      <c r="W115" s="806" t="s">
        <v>1376</v>
      </c>
      <c r="X115" s="805"/>
      <c r="Y115" s="806" t="s">
        <v>1378</v>
      </c>
      <c r="Z115" s="805"/>
      <c r="AA115" s="805"/>
      <c r="AB115" s="805"/>
      <c r="AC115" s="805"/>
      <c r="AD115" s="805"/>
      <c r="AE115" s="805"/>
      <c r="AF115" s="805"/>
      <c r="AG115" s="805"/>
      <c r="AH115" s="805"/>
      <c r="AI115" s="805"/>
      <c r="AJ115" s="805"/>
      <c r="AK115" s="805"/>
      <c r="AL115" s="805"/>
      <c r="AM115" s="805"/>
      <c r="AN115" s="805"/>
      <c r="AO115" s="805"/>
      <c r="AP115" s="805"/>
      <c r="AQ115" s="805"/>
      <c r="AR115" s="805"/>
      <c r="AS115" s="805"/>
      <c r="AT115" s="805"/>
      <c r="AU115" s="805"/>
      <c r="AV115" s="805"/>
      <c r="AW115" s="805"/>
      <c r="AX115" s="805"/>
      <c r="AY115" s="805"/>
    </row>
    <row r="116" spans="1:51" ht="12" customHeight="1" x14ac:dyDescent="0.2">
      <c r="A116" s="161"/>
      <c r="B116" s="1401" t="s">
        <v>1380</v>
      </c>
      <c r="C116" s="1403">
        <v>49456900.012091137</v>
      </c>
      <c r="D116" s="1394"/>
      <c r="E116" s="1404">
        <f>$C116*0.65+$C132*0.35</f>
        <v>51202458.01237797</v>
      </c>
      <c r="F116" s="1394"/>
      <c r="G116" s="1406">
        <v>0.1</v>
      </c>
      <c r="H116" s="161"/>
      <c r="I116" s="161"/>
      <c r="J116" s="161"/>
      <c r="K116" s="1407">
        <f>($E116*(1-G116))</f>
        <v>46082212.211140171</v>
      </c>
      <c r="L116" s="1408"/>
      <c r="M116" s="1410">
        <v>5120245.8012377974</v>
      </c>
      <c r="N116" s="1411"/>
      <c r="O116" s="1412">
        <f>(K116+K117)/1000*0.01*44/28</f>
        <v>724.45278594706372</v>
      </c>
      <c r="P116" s="1411"/>
      <c r="Q116" s="1412">
        <f>(M116+M117)/1000*0.01*44/28</f>
        <v>80.53693967673783</v>
      </c>
      <c r="R116" s="1322"/>
      <c r="S116" s="1414">
        <f>O116*$Z$8*12/44*10^-6</f>
        <v>5.3938802880967737E-2</v>
      </c>
      <c r="T116" s="1415"/>
      <c r="U116" s="1414">
        <f>Q116*310*12/44*10^-6</f>
        <v>6.8090321726696533E-3</v>
      </c>
      <c r="V116" s="1322"/>
      <c r="W116" s="1355">
        <f>S116/(12/44)</f>
        <v>0.19777561056354839</v>
      </c>
      <c r="X116" s="161"/>
      <c r="Y116" s="1355">
        <f>U116/(12/44)</f>
        <v>2.4966451299788729E-2</v>
      </c>
      <c r="Z116" s="161"/>
      <c r="AA116" s="161"/>
      <c r="AB116" s="161"/>
      <c r="AC116" s="161"/>
      <c r="AD116" s="161"/>
      <c r="AE116" s="161"/>
      <c r="AF116" s="161"/>
      <c r="AG116" s="161"/>
      <c r="AH116" s="161"/>
      <c r="AI116" s="161"/>
      <c r="AJ116" s="161"/>
      <c r="AK116" s="161"/>
      <c r="AL116" s="161"/>
      <c r="AM116" s="161"/>
      <c r="AN116" s="161"/>
      <c r="AO116" s="161"/>
      <c r="AP116" s="161"/>
      <c r="AQ116" s="161"/>
      <c r="AR116" s="161"/>
      <c r="AS116" s="161"/>
      <c r="AT116" s="161"/>
      <c r="AU116" s="161"/>
      <c r="AV116" s="161"/>
      <c r="AW116" s="161"/>
      <c r="AX116" s="161"/>
      <c r="AY116" s="161"/>
    </row>
    <row r="117" spans="1:51" ht="11.25" customHeight="1" x14ac:dyDescent="0.2">
      <c r="A117" s="161"/>
      <c r="B117" s="1401" t="s">
        <v>1389</v>
      </c>
      <c r="C117" s="1425">
        <v>572099.98790886719</v>
      </c>
      <c r="D117" s="704"/>
      <c r="E117" s="1404">
        <f>SUM(E118:E124)</f>
        <v>592291.9876220352</v>
      </c>
      <c r="F117" s="704"/>
      <c r="G117" s="1406">
        <v>0.2</v>
      </c>
      <c r="H117" s="161"/>
      <c r="I117" s="161">
        <v>4.1000000000000002E-2</v>
      </c>
      <c r="J117" s="161"/>
      <c r="K117" s="1407">
        <f>$E126*I117*(1-G117)</f>
        <v>19328.712763893323</v>
      </c>
      <c r="L117" s="1408"/>
      <c r="M117" s="1410">
        <v>4832.1781909733309</v>
      </c>
      <c r="N117" s="1411"/>
      <c r="O117" s="1411"/>
      <c r="P117" s="1411"/>
      <c r="Q117" s="1411"/>
      <c r="R117" s="1322"/>
      <c r="S117" s="1322"/>
      <c r="T117" s="1322"/>
      <c r="U117" s="1322"/>
      <c r="V117" s="1322"/>
      <c r="W117" s="1322"/>
      <c r="X117" s="161"/>
      <c r="Y117" s="161"/>
      <c r="Z117" s="161"/>
      <c r="AA117" s="161"/>
      <c r="AB117" s="161"/>
      <c r="AC117" s="161"/>
      <c r="AD117" s="161"/>
      <c r="AE117" s="161"/>
      <c r="AF117" s="161"/>
      <c r="AG117" s="161"/>
      <c r="AH117" s="161"/>
      <c r="AI117" s="161"/>
      <c r="AJ117" s="161"/>
      <c r="AK117" s="161"/>
      <c r="AL117" s="161"/>
      <c r="AM117" s="161"/>
      <c r="AN117" s="161"/>
      <c r="AO117" s="161"/>
      <c r="AP117" s="161"/>
      <c r="AQ117" s="161"/>
      <c r="AR117" s="161"/>
      <c r="AS117" s="161"/>
      <c r="AT117" s="161"/>
      <c r="AU117" s="161"/>
      <c r="AV117" s="161"/>
      <c r="AW117" s="161"/>
      <c r="AX117" s="161"/>
      <c r="AY117" s="161"/>
    </row>
    <row r="118" spans="1:51" ht="11.25" customHeight="1" x14ac:dyDescent="0.2">
      <c r="A118" s="161"/>
      <c r="B118" s="1428" t="s">
        <v>1391</v>
      </c>
      <c r="C118" s="1403"/>
      <c r="D118" s="1394"/>
      <c r="E118" s="1404">
        <f t="shared" ref="E118:E124" si="63">$C118*0.65+$C134*0.35</f>
        <v>0</v>
      </c>
      <c r="F118" s="1394"/>
      <c r="G118" s="704"/>
      <c r="H118" s="1394"/>
      <c r="I118" s="161"/>
      <c r="J118" s="161"/>
      <c r="K118" s="704"/>
      <c r="L118" s="704"/>
      <c r="M118" s="704"/>
      <c r="N118" s="704"/>
      <c r="O118" s="704"/>
      <c r="P118" s="663"/>
      <c r="Q118" s="663"/>
      <c r="R118" s="663"/>
      <c r="S118" s="663"/>
      <c r="T118" s="663"/>
      <c r="U118" s="663"/>
      <c r="V118" s="161"/>
      <c r="W118" s="161"/>
      <c r="X118" s="161"/>
      <c r="Y118" s="161"/>
      <c r="Z118" s="161"/>
      <c r="AA118" s="161"/>
      <c r="AB118" s="161"/>
      <c r="AC118" s="161"/>
      <c r="AD118" s="161"/>
      <c r="AE118" s="161"/>
      <c r="AF118" s="161"/>
      <c r="AG118" s="161"/>
      <c r="AH118" s="161"/>
      <c r="AI118" s="161"/>
      <c r="AJ118" s="161"/>
      <c r="AK118" s="161"/>
      <c r="AL118" s="161"/>
      <c r="AM118" s="161"/>
      <c r="AN118" s="161"/>
      <c r="AO118" s="161"/>
      <c r="AP118" s="161"/>
      <c r="AQ118" s="161"/>
      <c r="AR118" s="161"/>
      <c r="AS118" s="161"/>
      <c r="AT118" s="161"/>
      <c r="AU118" s="161"/>
      <c r="AV118" s="161"/>
      <c r="AW118" s="161"/>
      <c r="AX118" s="161"/>
      <c r="AY118" s="161"/>
    </row>
    <row r="119" spans="1:51" ht="11.25" customHeight="1" x14ac:dyDescent="0.2">
      <c r="A119" s="161"/>
      <c r="B119" s="1428" t="s">
        <v>1393</v>
      </c>
      <c r="C119" s="1403"/>
      <c r="D119" s="1394"/>
      <c r="E119" s="1404">
        <f t="shared" si="63"/>
        <v>0</v>
      </c>
      <c r="F119" s="1394"/>
      <c r="G119" s="1394"/>
      <c r="H119" s="1394"/>
      <c r="I119" s="704"/>
      <c r="J119" s="704"/>
      <c r="K119" s="704"/>
      <c r="L119" s="704"/>
      <c r="M119" s="704"/>
      <c r="N119" s="663"/>
      <c r="O119" s="663"/>
      <c r="P119" s="663"/>
      <c r="Q119" s="663"/>
      <c r="R119" s="663"/>
      <c r="S119" s="663"/>
      <c r="T119" s="161"/>
      <c r="U119" s="161"/>
      <c r="V119" s="161"/>
      <c r="W119" s="161"/>
      <c r="X119" s="161"/>
      <c r="Y119" s="161"/>
      <c r="Z119" s="161"/>
      <c r="AA119" s="161"/>
      <c r="AB119" s="161"/>
      <c r="AC119" s="161"/>
      <c r="AD119" s="161"/>
      <c r="AE119" s="161"/>
      <c r="AF119" s="161"/>
      <c r="AG119" s="161"/>
      <c r="AH119" s="161"/>
      <c r="AI119" s="161"/>
      <c r="AJ119" s="161"/>
      <c r="AK119" s="161"/>
      <c r="AL119" s="161"/>
      <c r="AM119" s="161"/>
      <c r="AN119" s="161"/>
      <c r="AO119" s="161"/>
      <c r="AP119" s="161"/>
      <c r="AQ119" s="161"/>
      <c r="AR119" s="161"/>
      <c r="AS119" s="161"/>
      <c r="AT119" s="161"/>
      <c r="AU119" s="161"/>
      <c r="AV119" s="161"/>
      <c r="AW119" s="161"/>
      <c r="AX119" s="161"/>
      <c r="AY119" s="161"/>
    </row>
    <row r="120" spans="1:51" ht="11.25" customHeight="1" x14ac:dyDescent="0.2">
      <c r="A120" s="161"/>
      <c r="B120" s="1428" t="s">
        <v>1395</v>
      </c>
      <c r="C120" s="1403">
        <v>2899.6234868568599</v>
      </c>
      <c r="D120" s="1394"/>
      <c r="E120" s="1404">
        <f t="shared" si="63"/>
        <v>3001.9643326046762</v>
      </c>
      <c r="F120" s="1394"/>
      <c r="G120" s="1394"/>
      <c r="H120" s="1394"/>
      <c r="I120" s="704"/>
      <c r="J120" s="704"/>
      <c r="K120" s="704"/>
      <c r="L120" s="704"/>
      <c r="M120" s="704"/>
      <c r="N120" s="663"/>
      <c r="O120" s="663"/>
      <c r="P120" s="663"/>
      <c r="Q120" s="663"/>
      <c r="R120" s="663"/>
      <c r="S120" s="663"/>
      <c r="T120" s="161"/>
      <c r="U120" s="161"/>
      <c r="V120" s="161"/>
      <c r="W120" s="161"/>
      <c r="X120" s="161"/>
      <c r="Y120" s="161"/>
      <c r="Z120" s="161"/>
      <c r="AA120" s="161"/>
      <c r="AB120" s="161"/>
      <c r="AC120" s="161"/>
      <c r="AD120" s="161"/>
      <c r="AE120" s="161"/>
      <c r="AF120" s="161"/>
      <c r="AG120" s="161"/>
      <c r="AH120" s="161"/>
      <c r="AI120" s="161"/>
      <c r="AJ120" s="161"/>
      <c r="AK120" s="161"/>
      <c r="AL120" s="161"/>
      <c r="AM120" s="161"/>
      <c r="AN120" s="161"/>
      <c r="AO120" s="161"/>
      <c r="AP120" s="161"/>
      <c r="AQ120" s="161"/>
      <c r="AR120" s="161"/>
      <c r="AS120" s="161"/>
      <c r="AT120" s="161"/>
      <c r="AU120" s="161"/>
      <c r="AV120" s="161"/>
      <c r="AW120" s="161"/>
      <c r="AX120" s="161"/>
      <c r="AY120" s="161"/>
    </row>
    <row r="121" spans="1:51" ht="11.25" customHeight="1" x14ac:dyDescent="0.2">
      <c r="A121" s="161"/>
      <c r="B121" s="1428" t="s">
        <v>1397</v>
      </c>
      <c r="C121" s="1403">
        <v>494982.34741945093</v>
      </c>
      <c r="D121" s="1394"/>
      <c r="E121" s="1404">
        <f t="shared" si="63"/>
        <v>512452.51632060623</v>
      </c>
      <c r="F121" s="1394"/>
      <c r="G121" s="1394"/>
      <c r="H121" s="1394"/>
      <c r="I121" s="704"/>
      <c r="J121" s="704"/>
      <c r="K121" s="704"/>
      <c r="L121" s="704"/>
      <c r="M121" s="704"/>
      <c r="N121" s="663"/>
      <c r="O121" s="663"/>
      <c r="P121" s="663"/>
      <c r="Q121" s="663"/>
      <c r="R121" s="663"/>
      <c r="S121" s="663"/>
      <c r="T121" s="161"/>
      <c r="U121" s="161"/>
      <c r="V121" s="161"/>
      <c r="W121" s="161"/>
      <c r="X121" s="161"/>
      <c r="Y121" s="161"/>
      <c r="Z121" s="161"/>
      <c r="AA121" s="161"/>
      <c r="AB121" s="161"/>
      <c r="AC121" s="161"/>
      <c r="AD121" s="161"/>
      <c r="AE121" s="161"/>
      <c r="AF121" s="161"/>
      <c r="AG121" s="161"/>
      <c r="AH121" s="161"/>
      <c r="AI121" s="161"/>
      <c r="AJ121" s="161"/>
      <c r="AK121" s="161"/>
      <c r="AL121" s="161"/>
      <c r="AM121" s="161"/>
      <c r="AN121" s="161"/>
      <c r="AO121" s="161"/>
      <c r="AP121" s="161"/>
      <c r="AQ121" s="161"/>
      <c r="AR121" s="161"/>
      <c r="AS121" s="161"/>
      <c r="AT121" s="161"/>
      <c r="AU121" s="161"/>
      <c r="AV121" s="161"/>
      <c r="AW121" s="161"/>
      <c r="AX121" s="161"/>
      <c r="AY121" s="161"/>
    </row>
    <row r="122" spans="1:51" ht="11.25" customHeight="1" x14ac:dyDescent="0.2">
      <c r="A122" s="161"/>
      <c r="B122" s="1428" t="s">
        <v>1398</v>
      </c>
      <c r="C122" s="1403"/>
      <c r="D122" s="1394"/>
      <c r="E122" s="1404">
        <f t="shared" si="63"/>
        <v>0</v>
      </c>
      <c r="F122" s="1394"/>
      <c r="G122" s="1394"/>
      <c r="H122" s="1394"/>
      <c r="I122" s="704"/>
      <c r="J122" s="704"/>
      <c r="K122" s="704"/>
      <c r="L122" s="704"/>
      <c r="M122" s="704"/>
      <c r="N122" s="663"/>
      <c r="O122" s="663"/>
      <c r="P122" s="663"/>
      <c r="Q122" s="663"/>
      <c r="R122" s="663"/>
      <c r="S122" s="663"/>
      <c r="T122" s="161"/>
      <c r="U122" s="161"/>
      <c r="V122" s="161"/>
      <c r="W122" s="161"/>
      <c r="X122" s="161"/>
      <c r="Y122" s="161"/>
      <c r="Z122" s="161"/>
      <c r="AA122" s="161"/>
      <c r="AB122" s="161"/>
      <c r="AC122" s="161"/>
      <c r="AD122" s="161"/>
      <c r="AE122" s="161"/>
      <c r="AF122" s="161"/>
      <c r="AG122" s="161"/>
      <c r="AH122" s="161"/>
      <c r="AI122" s="161"/>
      <c r="AJ122" s="161"/>
      <c r="AK122" s="161"/>
      <c r="AL122" s="161"/>
      <c r="AM122" s="161"/>
      <c r="AN122" s="161"/>
      <c r="AO122" s="161"/>
      <c r="AP122" s="161"/>
      <c r="AQ122" s="161"/>
      <c r="AR122" s="161"/>
      <c r="AS122" s="161"/>
      <c r="AT122" s="161"/>
      <c r="AU122" s="161"/>
      <c r="AV122" s="161"/>
      <c r="AW122" s="161"/>
      <c r="AX122" s="161"/>
      <c r="AY122" s="161"/>
    </row>
    <row r="123" spans="1:51" ht="11.25" customHeight="1" x14ac:dyDescent="0.2">
      <c r="A123" s="161"/>
      <c r="B123" s="1428" t="s">
        <v>1400</v>
      </c>
      <c r="C123" s="1403"/>
      <c r="D123" s="1394"/>
      <c r="E123" s="1404">
        <f t="shared" si="63"/>
        <v>0</v>
      </c>
      <c r="F123" s="1394"/>
      <c r="G123" s="1394"/>
      <c r="H123" s="1394"/>
      <c r="I123" s="704"/>
      <c r="J123" s="704"/>
      <c r="K123" s="704"/>
      <c r="L123" s="704"/>
      <c r="M123" s="704"/>
      <c r="N123" s="663"/>
      <c r="O123" s="663"/>
      <c r="P123" s="663"/>
      <c r="Q123" s="663"/>
      <c r="R123" s="663"/>
      <c r="S123" s="663"/>
      <c r="T123" s="161"/>
      <c r="U123" s="161"/>
      <c r="V123" s="161"/>
      <c r="W123" s="161"/>
      <c r="X123" s="161"/>
      <c r="Y123" s="161"/>
      <c r="Z123" s="161"/>
      <c r="AA123" s="161"/>
      <c r="AB123" s="161"/>
      <c r="AC123" s="161"/>
      <c r="AD123" s="161"/>
      <c r="AE123" s="161"/>
      <c r="AF123" s="161"/>
      <c r="AG123" s="161"/>
      <c r="AH123" s="161"/>
      <c r="AI123" s="161"/>
      <c r="AJ123" s="161"/>
      <c r="AK123" s="161"/>
      <c r="AL123" s="161"/>
      <c r="AM123" s="161"/>
      <c r="AN123" s="161"/>
      <c r="AO123" s="161"/>
      <c r="AP123" s="161"/>
      <c r="AQ123" s="161"/>
      <c r="AR123" s="161"/>
      <c r="AS123" s="161"/>
      <c r="AT123" s="161"/>
      <c r="AU123" s="161"/>
      <c r="AV123" s="161"/>
      <c r="AW123" s="161"/>
      <c r="AX123" s="161"/>
      <c r="AY123" s="161"/>
    </row>
    <row r="124" spans="1:51" ht="11.25" customHeight="1" x14ac:dyDescent="0.2">
      <c r="A124" s="161"/>
      <c r="B124" s="1428" t="s">
        <v>1401</v>
      </c>
      <c r="C124" s="1403">
        <v>74218.017002559413</v>
      </c>
      <c r="D124" s="1394"/>
      <c r="E124" s="1404">
        <f t="shared" si="63"/>
        <v>76837.506968824368</v>
      </c>
      <c r="F124" s="1394"/>
      <c r="G124" s="1394"/>
      <c r="H124" s="1394"/>
      <c r="I124" s="704"/>
      <c r="J124" s="1406"/>
      <c r="K124" s="704"/>
      <c r="L124" s="704"/>
      <c r="M124" s="704"/>
      <c r="N124" s="663"/>
      <c r="O124" s="663"/>
      <c r="P124" s="663"/>
      <c r="Q124" s="663"/>
      <c r="R124" s="663"/>
      <c r="S124" s="663"/>
      <c r="T124" s="161"/>
      <c r="U124" s="161"/>
      <c r="V124" s="161"/>
      <c r="W124" s="161"/>
      <c r="X124" s="161"/>
      <c r="Y124" s="161"/>
      <c r="Z124" s="161"/>
      <c r="AA124" s="161"/>
      <c r="AB124" s="161"/>
      <c r="AC124" s="161"/>
      <c r="AD124" s="161"/>
      <c r="AE124" s="161"/>
      <c r="AF124" s="161"/>
      <c r="AG124" s="161"/>
      <c r="AH124" s="161"/>
      <c r="AI124" s="161"/>
      <c r="AJ124" s="161"/>
      <c r="AK124" s="161"/>
      <c r="AL124" s="161"/>
      <c r="AM124" s="161"/>
      <c r="AN124" s="161"/>
      <c r="AO124" s="161"/>
      <c r="AP124" s="161"/>
      <c r="AQ124" s="161"/>
      <c r="AR124" s="161"/>
      <c r="AS124" s="161"/>
      <c r="AT124" s="161"/>
      <c r="AU124" s="161"/>
      <c r="AV124" s="161"/>
      <c r="AW124" s="161"/>
      <c r="AX124" s="161"/>
      <c r="AY124" s="161"/>
    </row>
    <row r="125" spans="1:51" ht="11.25" customHeight="1" x14ac:dyDescent="0.2">
      <c r="A125" s="161"/>
      <c r="B125" s="1431" t="s">
        <v>1402</v>
      </c>
      <c r="C125" s="1432">
        <v>5.0683858558632873E-3</v>
      </c>
      <c r="D125" s="1394"/>
      <c r="E125" s="1433">
        <f>IF(E117=0,0,E120/E117)</f>
        <v>5.0683858558632873E-3</v>
      </c>
      <c r="F125" s="1394"/>
      <c r="G125" s="1394"/>
      <c r="H125" s="1394"/>
      <c r="I125" s="1394"/>
      <c r="J125" s="1394"/>
      <c r="K125" s="1394"/>
      <c r="L125" s="1394"/>
      <c r="M125" s="1394"/>
      <c r="N125" s="161"/>
      <c r="O125" s="161"/>
      <c r="P125" s="161"/>
      <c r="Q125" s="161"/>
      <c r="R125" s="161"/>
      <c r="S125" s="161"/>
      <c r="T125" s="161"/>
      <c r="U125" s="161"/>
      <c r="V125" s="161"/>
      <c r="W125" s="161"/>
      <c r="X125" s="161"/>
      <c r="Y125" s="161"/>
      <c r="Z125" s="161"/>
      <c r="AA125" s="161"/>
      <c r="AB125" s="161"/>
      <c r="AC125" s="161"/>
      <c r="AD125" s="161"/>
      <c r="AE125" s="161"/>
      <c r="AF125" s="161"/>
      <c r="AG125" s="161"/>
      <c r="AH125" s="161"/>
      <c r="AI125" s="161"/>
      <c r="AJ125" s="161"/>
      <c r="AK125" s="161"/>
      <c r="AL125" s="161"/>
      <c r="AM125" s="161"/>
      <c r="AN125" s="161"/>
      <c r="AO125" s="161"/>
      <c r="AP125" s="161"/>
      <c r="AQ125" s="161"/>
      <c r="AR125" s="161"/>
      <c r="AS125" s="161"/>
      <c r="AT125" s="161"/>
      <c r="AU125" s="161"/>
      <c r="AV125" s="161"/>
      <c r="AW125" s="161"/>
      <c r="AX125" s="161"/>
      <c r="AY125" s="161"/>
    </row>
    <row r="126" spans="1:51" ht="11.25" customHeight="1" x14ac:dyDescent="0.2">
      <c r="A126" s="161"/>
      <c r="B126" s="1431" t="s">
        <v>1405</v>
      </c>
      <c r="C126" s="1434">
        <v>569200.36442201026</v>
      </c>
      <c r="D126" s="1394"/>
      <c r="E126" s="1436">
        <f>E117*(1-E125)</f>
        <v>589290.02328943054</v>
      </c>
      <c r="F126" s="1394"/>
      <c r="G126" s="1394"/>
      <c r="H126" s="1394"/>
      <c r="I126" s="1394"/>
      <c r="J126" s="1394"/>
      <c r="K126" s="1394"/>
      <c r="L126" s="1394"/>
      <c r="M126" s="1394"/>
      <c r="N126" s="161"/>
      <c r="O126" s="161"/>
      <c r="P126" s="161"/>
      <c r="Q126" s="161"/>
      <c r="R126" s="161"/>
      <c r="S126" s="161"/>
      <c r="T126" s="161"/>
      <c r="U126" s="161"/>
      <c r="V126" s="161"/>
      <c r="W126" s="161"/>
      <c r="X126" s="161"/>
      <c r="Y126" s="161"/>
      <c r="Z126" s="161"/>
      <c r="AA126" s="161"/>
      <c r="AB126" s="161"/>
      <c r="AC126" s="161"/>
      <c r="AD126" s="161"/>
      <c r="AE126" s="161"/>
      <c r="AF126" s="161"/>
      <c r="AG126" s="161"/>
      <c r="AH126" s="161"/>
      <c r="AI126" s="161"/>
      <c r="AJ126" s="161"/>
      <c r="AK126" s="161"/>
      <c r="AL126" s="161"/>
      <c r="AM126" s="161"/>
      <c r="AN126" s="161"/>
      <c r="AO126" s="161"/>
      <c r="AP126" s="161"/>
      <c r="AQ126" s="161"/>
      <c r="AR126" s="161"/>
      <c r="AS126" s="161"/>
      <c r="AT126" s="161"/>
      <c r="AU126" s="161"/>
      <c r="AV126" s="161"/>
      <c r="AW126" s="161"/>
      <c r="AX126" s="161"/>
      <c r="AY126" s="161"/>
    </row>
    <row r="127" spans="1:51" ht="11.25" customHeight="1" x14ac:dyDescent="0.2">
      <c r="A127" s="161"/>
      <c r="B127" s="1431" t="s">
        <v>1407</v>
      </c>
      <c r="C127" s="1434">
        <v>2899.6234868568599</v>
      </c>
      <c r="D127" s="1394"/>
      <c r="E127" s="1434">
        <f>E117*E125</f>
        <v>3001.9643326046767</v>
      </c>
      <c r="F127" s="1394"/>
      <c r="G127" s="1394"/>
      <c r="H127" s="1394"/>
      <c r="I127" s="1394"/>
      <c r="J127" s="1394"/>
      <c r="K127" s="1394"/>
      <c r="L127" s="1394"/>
      <c r="M127" s="1394"/>
      <c r="N127" s="161"/>
      <c r="O127" s="161"/>
      <c r="P127" s="161"/>
      <c r="Q127" s="161"/>
      <c r="R127" s="161"/>
      <c r="S127" s="161"/>
      <c r="T127" s="161"/>
      <c r="U127" s="161"/>
      <c r="V127" s="161"/>
      <c r="W127" s="161"/>
      <c r="X127" s="161"/>
      <c r="Y127" s="161"/>
      <c r="Z127" s="161"/>
      <c r="AA127" s="161"/>
      <c r="AB127" s="161"/>
      <c r="AC127" s="161"/>
      <c r="AD127" s="161"/>
      <c r="AE127" s="161"/>
      <c r="AF127" s="161"/>
      <c r="AG127" s="161"/>
      <c r="AH127" s="161"/>
      <c r="AI127" s="161"/>
      <c r="AJ127" s="161"/>
      <c r="AK127" s="161"/>
      <c r="AL127" s="161"/>
      <c r="AM127" s="161"/>
      <c r="AN127" s="161"/>
      <c r="AO127" s="161"/>
      <c r="AP127" s="161"/>
      <c r="AQ127" s="161"/>
      <c r="AR127" s="161"/>
      <c r="AS127" s="161"/>
      <c r="AT127" s="161"/>
      <c r="AU127" s="161"/>
      <c r="AV127" s="161"/>
      <c r="AW127" s="161"/>
      <c r="AX127" s="161"/>
      <c r="AY127" s="161"/>
    </row>
    <row r="128" spans="1:51" ht="11.25" customHeight="1" x14ac:dyDescent="0.2">
      <c r="A128" s="161"/>
      <c r="B128" s="161"/>
      <c r="C128" s="1394"/>
      <c r="D128" s="1394"/>
      <c r="E128" s="1394"/>
      <c r="F128" s="1394"/>
      <c r="G128" s="1394"/>
      <c r="H128" s="1394"/>
      <c r="I128" s="1394"/>
      <c r="J128" s="1394"/>
      <c r="K128" s="1394"/>
      <c r="L128" s="1394"/>
      <c r="M128" s="1394"/>
      <c r="N128" s="161"/>
      <c r="O128" s="161"/>
      <c r="P128" s="161"/>
      <c r="Q128" s="161"/>
      <c r="R128" s="161"/>
      <c r="S128" s="161"/>
      <c r="T128" s="161"/>
      <c r="U128" s="161"/>
      <c r="V128" s="161"/>
      <c r="W128" s="161"/>
      <c r="X128" s="161"/>
      <c r="Y128" s="161"/>
      <c r="Z128" s="161"/>
      <c r="AA128" s="161"/>
      <c r="AB128" s="161"/>
      <c r="AC128" s="161"/>
      <c r="AD128" s="161"/>
      <c r="AE128" s="161"/>
      <c r="AF128" s="161"/>
      <c r="AG128" s="161"/>
      <c r="AH128" s="161"/>
      <c r="AI128" s="161"/>
      <c r="AJ128" s="161"/>
      <c r="AK128" s="161"/>
      <c r="AL128" s="161"/>
      <c r="AM128" s="161"/>
      <c r="AN128" s="161"/>
      <c r="AO128" s="161"/>
      <c r="AP128" s="161"/>
      <c r="AQ128" s="161"/>
      <c r="AR128" s="161"/>
      <c r="AS128" s="161"/>
      <c r="AT128" s="161"/>
      <c r="AU128" s="161"/>
      <c r="AV128" s="161"/>
      <c r="AW128" s="161"/>
      <c r="AX128" s="161"/>
      <c r="AY128" s="161"/>
    </row>
    <row r="129" spans="1:54" ht="11.25" customHeight="1" x14ac:dyDescent="0.2">
      <c r="A129" s="161"/>
      <c r="B129" s="161"/>
      <c r="C129" s="161"/>
      <c r="D129" s="161"/>
      <c r="E129" s="161"/>
      <c r="F129" s="161"/>
      <c r="G129" s="161"/>
      <c r="H129" s="161"/>
      <c r="I129" s="161"/>
      <c r="J129" s="161"/>
      <c r="K129" s="161"/>
      <c r="L129" s="161"/>
      <c r="M129" s="161"/>
      <c r="N129" s="161"/>
      <c r="O129" s="161"/>
      <c r="P129" s="161"/>
      <c r="Q129" s="161"/>
      <c r="R129" s="161"/>
      <c r="S129" s="161"/>
      <c r="T129" s="161"/>
      <c r="U129" s="161"/>
      <c r="V129" s="161"/>
      <c r="W129" s="161"/>
      <c r="X129" s="161"/>
      <c r="Y129" s="161"/>
      <c r="Z129" s="161"/>
      <c r="AA129" s="161"/>
      <c r="AB129" s="161"/>
      <c r="AC129" s="161"/>
      <c r="AD129" s="161"/>
      <c r="AE129" s="161"/>
      <c r="AF129" s="161"/>
      <c r="AG129" s="161"/>
      <c r="AH129" s="161"/>
      <c r="AI129" s="161"/>
      <c r="AJ129" s="161"/>
      <c r="AK129" s="161"/>
      <c r="AL129" s="161"/>
      <c r="AM129" s="161"/>
      <c r="AN129" s="161"/>
      <c r="AO129" s="161"/>
      <c r="AP129" s="161"/>
      <c r="AQ129" s="161"/>
      <c r="AR129" s="161"/>
      <c r="AS129" s="161"/>
      <c r="AT129" s="161"/>
      <c r="AU129" s="161"/>
      <c r="AV129" s="161"/>
      <c r="AW129" s="161"/>
      <c r="AX129" s="161"/>
      <c r="AY129" s="161"/>
    </row>
    <row r="130" spans="1:54" ht="11.25" customHeight="1" x14ac:dyDescent="0.2">
      <c r="A130" s="161"/>
      <c r="B130" s="1391" t="s">
        <v>1362</v>
      </c>
      <c r="C130" s="1392">
        <v>2007</v>
      </c>
      <c r="D130" s="663"/>
      <c r="E130" s="663"/>
      <c r="F130" s="663"/>
      <c r="G130" s="663"/>
      <c r="H130" s="663"/>
      <c r="I130" s="663"/>
      <c r="J130" s="663"/>
      <c r="K130" s="663"/>
      <c r="L130" s="663"/>
      <c r="M130" s="663"/>
      <c r="N130" s="663"/>
      <c r="O130" s="663"/>
      <c r="P130" s="663"/>
      <c r="Q130" s="663"/>
      <c r="R130" s="663"/>
      <c r="S130" s="663"/>
      <c r="T130" s="663"/>
      <c r="U130" s="663"/>
      <c r="V130" s="663"/>
      <c r="W130" s="663"/>
      <c r="X130" s="663"/>
      <c r="Y130" s="663"/>
      <c r="Z130" s="663"/>
      <c r="AA130" s="663"/>
      <c r="AB130" s="663"/>
      <c r="AC130" s="663"/>
      <c r="AD130" s="663"/>
      <c r="AE130" s="663"/>
      <c r="AF130" s="161"/>
      <c r="AG130" s="161"/>
      <c r="AH130" s="161"/>
      <c r="AI130" s="161"/>
      <c r="AJ130" s="161"/>
      <c r="AK130" s="161"/>
      <c r="AL130" s="161"/>
      <c r="AM130" s="161"/>
      <c r="AN130" s="161"/>
      <c r="AO130" s="161"/>
      <c r="AP130" s="161"/>
      <c r="AQ130" s="161"/>
      <c r="AR130" s="161"/>
      <c r="AS130" s="161"/>
      <c r="AT130" s="161"/>
      <c r="AU130" s="161"/>
      <c r="AV130" s="161"/>
      <c r="AW130" s="161"/>
      <c r="AX130" s="161"/>
      <c r="AY130" s="161"/>
    </row>
    <row r="131" spans="1:54" ht="33.75" customHeight="1" x14ac:dyDescent="0.2">
      <c r="A131" s="805"/>
      <c r="B131" s="1396" t="s">
        <v>1364</v>
      </c>
      <c r="C131" s="1397" t="s">
        <v>1409</v>
      </c>
      <c r="D131" s="1397"/>
      <c r="E131" s="1439"/>
      <c r="F131" s="161"/>
      <c r="G131" s="161"/>
      <c r="H131" s="161"/>
      <c r="I131" s="161"/>
      <c r="J131" s="161"/>
      <c r="K131" s="161"/>
      <c r="L131" s="161"/>
      <c r="M131" s="161"/>
      <c r="N131" s="161"/>
      <c r="O131" s="161"/>
      <c r="P131" s="161"/>
      <c r="Q131" s="161"/>
      <c r="R131" s="161"/>
      <c r="S131" s="161"/>
      <c r="T131" s="161"/>
      <c r="U131" s="161"/>
      <c r="V131" s="161"/>
      <c r="W131" s="161"/>
      <c r="X131" s="161"/>
      <c r="Y131" s="161"/>
      <c r="Z131" s="161"/>
      <c r="AA131" s="161"/>
      <c r="AB131" s="161"/>
      <c r="AC131" s="161"/>
      <c r="AD131" s="161"/>
      <c r="AE131" s="161"/>
      <c r="AF131" s="161"/>
      <c r="AG131" s="161"/>
      <c r="AH131" s="161"/>
      <c r="AI131" s="161"/>
      <c r="AJ131" s="161"/>
      <c r="AK131" s="161"/>
      <c r="AL131" s="161"/>
      <c r="AM131" s="161"/>
      <c r="AN131" s="161"/>
      <c r="AO131" s="161"/>
      <c r="AP131" s="161"/>
      <c r="AQ131" s="161"/>
      <c r="AR131" s="161"/>
      <c r="AS131" s="161"/>
      <c r="AT131" s="161"/>
      <c r="AU131" s="161"/>
      <c r="AV131" s="161"/>
      <c r="AW131" s="161"/>
      <c r="AX131" s="161"/>
      <c r="AY131" s="161"/>
    </row>
    <row r="132" spans="1:54" ht="11.25" customHeight="1" x14ac:dyDescent="0.2">
      <c r="A132" s="161"/>
      <c r="B132" s="1401" t="s">
        <v>1380</v>
      </c>
      <c r="C132" s="1403">
        <v>54444208.584339224</v>
      </c>
      <c r="D132" s="1394"/>
      <c r="E132" s="1394"/>
      <c r="F132" s="161"/>
      <c r="G132" s="161"/>
      <c r="H132" s="161"/>
      <c r="I132" s="161"/>
      <c r="J132" s="161"/>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c r="AM132" s="161"/>
      <c r="AN132" s="161"/>
      <c r="AO132" s="161"/>
      <c r="AP132" s="161"/>
      <c r="AQ132" s="161"/>
      <c r="AR132" s="161"/>
      <c r="AS132" s="161"/>
      <c r="AT132" s="161"/>
      <c r="AU132" s="161"/>
      <c r="AV132" s="161"/>
      <c r="AW132" s="161"/>
      <c r="AX132" s="161"/>
      <c r="AY132" s="161"/>
    </row>
    <row r="133" spans="1:54" ht="11.25" customHeight="1" x14ac:dyDescent="0.2">
      <c r="A133" s="161"/>
      <c r="B133" s="1401" t="s">
        <v>1389</v>
      </c>
      <c r="C133" s="1425">
        <v>629791.41566077585</v>
      </c>
      <c r="D133" s="704"/>
      <c r="E133" s="704"/>
      <c r="F133" s="161"/>
      <c r="G133" s="161"/>
      <c r="H133" s="161"/>
      <c r="I133" s="161"/>
      <c r="J133" s="161"/>
      <c r="K133" s="161"/>
      <c r="L133" s="161"/>
      <c r="M133" s="161"/>
      <c r="N133" s="161"/>
      <c r="O133" s="161"/>
      <c r="P133" s="161"/>
      <c r="Q133" s="161"/>
      <c r="R133" s="161"/>
      <c r="S133" s="161"/>
      <c r="T133" s="161"/>
      <c r="U133" s="161"/>
      <c r="V133" s="161"/>
      <c r="W133" s="161"/>
      <c r="X133" s="161"/>
      <c r="Y133" s="161"/>
      <c r="Z133" s="161"/>
      <c r="AA133" s="161"/>
      <c r="AB133" s="161"/>
      <c r="AC133" s="161"/>
      <c r="AD133" s="161"/>
      <c r="AE133" s="161"/>
      <c r="AF133" s="161"/>
      <c r="AG133" s="161"/>
      <c r="AH133" s="161"/>
      <c r="AI133" s="161"/>
      <c r="AJ133" s="161"/>
      <c r="AK133" s="161"/>
      <c r="AL133" s="161"/>
      <c r="AM133" s="161"/>
      <c r="AN133" s="161"/>
      <c r="AO133" s="161"/>
      <c r="AP133" s="161"/>
      <c r="AQ133" s="161"/>
      <c r="AR133" s="161"/>
      <c r="AS133" s="161"/>
      <c r="AT133" s="161"/>
      <c r="AU133" s="161"/>
      <c r="AV133" s="161"/>
      <c r="AW133" s="161"/>
      <c r="AX133" s="161"/>
      <c r="AY133" s="161"/>
      <c r="AZ133" s="161"/>
      <c r="BA133" s="161"/>
      <c r="BB133" s="161"/>
    </row>
    <row r="134" spans="1:54" ht="11.25" customHeight="1" x14ac:dyDescent="0.2">
      <c r="A134" s="161"/>
      <c r="B134" s="1428" t="s">
        <v>1391</v>
      </c>
      <c r="C134" s="1403"/>
      <c r="D134" s="1394"/>
      <c r="E134" s="1394"/>
      <c r="F134" s="1394"/>
      <c r="G134" s="1394"/>
      <c r="H134" s="704"/>
      <c r="I134" s="704"/>
      <c r="J134" s="704"/>
      <c r="K134" s="704"/>
      <c r="L134" s="704"/>
      <c r="M134" s="663"/>
      <c r="N134" s="663"/>
      <c r="O134" s="663"/>
      <c r="P134" s="663"/>
      <c r="Q134" s="663"/>
      <c r="R134" s="663"/>
      <c r="S134" s="161"/>
      <c r="T134" s="161"/>
      <c r="U134" s="161"/>
      <c r="V134" s="161"/>
      <c r="W134" s="161"/>
      <c r="X134" s="161"/>
      <c r="Y134" s="161"/>
      <c r="Z134" s="161"/>
      <c r="AA134" s="161"/>
      <c r="AB134" s="161"/>
      <c r="AC134" s="161"/>
      <c r="AD134" s="161"/>
      <c r="AE134" s="161"/>
      <c r="AF134" s="161"/>
      <c r="AG134" s="161"/>
      <c r="AH134" s="161"/>
      <c r="AI134" s="161"/>
      <c r="AJ134" s="161"/>
      <c r="AK134" s="161"/>
      <c r="AL134" s="161"/>
      <c r="AM134" s="161"/>
      <c r="AN134" s="161"/>
      <c r="AO134" s="161"/>
      <c r="AP134" s="161"/>
      <c r="AQ134" s="161"/>
      <c r="AR134" s="161"/>
      <c r="AS134" s="161"/>
      <c r="AT134" s="161"/>
      <c r="AU134" s="161"/>
      <c r="AV134" s="161"/>
      <c r="AW134" s="161"/>
      <c r="AX134" s="161"/>
      <c r="AY134" s="161"/>
      <c r="AZ134" s="161"/>
      <c r="BA134" s="161"/>
      <c r="BB134" s="161"/>
    </row>
    <row r="135" spans="1:54" ht="11.25" customHeight="1" x14ac:dyDescent="0.2">
      <c r="A135" s="161"/>
      <c r="B135" s="1428" t="s">
        <v>1393</v>
      </c>
      <c r="C135" s="1403"/>
      <c r="D135" s="1394"/>
      <c r="E135" s="1394"/>
      <c r="F135" s="1394"/>
      <c r="G135" s="1394"/>
      <c r="H135" s="704"/>
      <c r="I135" s="704"/>
      <c r="J135" s="704"/>
      <c r="K135" s="704"/>
      <c r="L135" s="704"/>
      <c r="M135" s="663"/>
      <c r="N135" s="663"/>
      <c r="O135" s="663"/>
      <c r="P135" s="663"/>
      <c r="Q135" s="663"/>
      <c r="R135" s="663"/>
      <c r="S135" s="161"/>
      <c r="T135" s="161"/>
      <c r="U135" s="161"/>
      <c r="V135" s="161"/>
      <c r="W135" s="161"/>
      <c r="X135" s="161"/>
      <c r="Y135" s="161"/>
      <c r="Z135" s="161"/>
      <c r="AA135" s="161"/>
      <c r="AB135" s="161"/>
      <c r="AC135" s="161"/>
      <c r="AD135" s="161"/>
      <c r="AE135" s="161"/>
      <c r="AF135" s="161"/>
      <c r="AG135" s="161"/>
      <c r="AH135" s="161"/>
      <c r="AI135" s="161"/>
      <c r="AJ135" s="161"/>
      <c r="AK135" s="161"/>
      <c r="AL135" s="161"/>
      <c r="AM135" s="161"/>
      <c r="AN135" s="161"/>
      <c r="AO135" s="161"/>
      <c r="AP135" s="161"/>
      <c r="AQ135" s="161"/>
      <c r="AR135" s="161"/>
      <c r="AS135" s="161"/>
      <c r="AT135" s="161"/>
      <c r="AU135" s="161"/>
      <c r="AV135" s="161"/>
      <c r="AW135" s="161"/>
      <c r="AX135" s="161"/>
      <c r="AY135" s="161"/>
      <c r="AZ135" s="161"/>
      <c r="BA135" s="161"/>
      <c r="BB135" s="161"/>
    </row>
    <row r="136" spans="1:54" ht="11.25" customHeight="1" x14ac:dyDescent="0.2">
      <c r="A136" s="161"/>
      <c r="B136" s="1428" t="s">
        <v>1395</v>
      </c>
      <c r="C136" s="1403">
        <v>3192.0259032791919</v>
      </c>
      <c r="D136" s="1394"/>
      <c r="E136" s="1394"/>
      <c r="F136" s="1394"/>
      <c r="G136" s="1394"/>
      <c r="H136" s="704"/>
      <c r="I136" s="704"/>
      <c r="J136" s="704"/>
      <c r="K136" s="704"/>
      <c r="L136" s="704"/>
      <c r="M136" s="663"/>
      <c r="N136" s="663"/>
      <c r="O136" s="663"/>
      <c r="P136" s="663"/>
      <c r="Q136" s="663"/>
      <c r="R136" s="663"/>
      <c r="S136" s="161"/>
      <c r="T136" s="161"/>
      <c r="U136" s="161"/>
      <c r="V136" s="161"/>
      <c r="W136" s="161"/>
      <c r="X136" s="161"/>
      <c r="Y136" s="161"/>
      <c r="Z136" s="161"/>
      <c r="AA136" s="161"/>
      <c r="AB136" s="161"/>
      <c r="AC136" s="161"/>
      <c r="AD136" s="161"/>
      <c r="AE136" s="161"/>
      <c r="AF136" s="161"/>
      <c r="AG136" s="161"/>
      <c r="AH136" s="161"/>
      <c r="AI136" s="161"/>
      <c r="AJ136" s="161"/>
      <c r="AK136" s="161"/>
      <c r="AL136" s="161"/>
      <c r="AM136" s="161"/>
      <c r="AN136" s="161"/>
      <c r="AO136" s="161"/>
      <c r="AP136" s="161"/>
      <c r="AQ136" s="161"/>
      <c r="AR136" s="161"/>
      <c r="AS136" s="161"/>
      <c r="AT136" s="161"/>
      <c r="AU136" s="161"/>
      <c r="AV136" s="161"/>
      <c r="AW136" s="161"/>
      <c r="AX136" s="161"/>
      <c r="AY136" s="161"/>
      <c r="AZ136" s="161"/>
      <c r="BA136" s="161"/>
      <c r="BB136" s="161"/>
    </row>
    <row r="137" spans="1:54" ht="11.25" customHeight="1" x14ac:dyDescent="0.2">
      <c r="A137" s="161"/>
      <c r="B137" s="1428" t="s">
        <v>1397</v>
      </c>
      <c r="C137" s="1403">
        <v>544897.11570846592</v>
      </c>
      <c r="D137" s="1394"/>
      <c r="E137" s="1394"/>
      <c r="F137" s="1394"/>
      <c r="G137" s="1394"/>
      <c r="H137" s="704"/>
      <c r="I137" s="704"/>
      <c r="J137" s="704"/>
      <c r="K137" s="704"/>
      <c r="L137" s="704"/>
      <c r="M137" s="663"/>
      <c r="N137" s="663"/>
      <c r="O137" s="663"/>
      <c r="P137" s="663"/>
      <c r="Q137" s="663"/>
      <c r="R137" s="663"/>
      <c r="S137" s="161"/>
      <c r="T137" s="161"/>
      <c r="U137" s="161"/>
      <c r="V137" s="161"/>
      <c r="W137" s="161"/>
      <c r="X137" s="161"/>
      <c r="Y137" s="161"/>
      <c r="Z137" s="161"/>
      <c r="AA137" s="161"/>
      <c r="AB137" s="161"/>
      <c r="AC137" s="161"/>
      <c r="AD137" s="161"/>
      <c r="AE137" s="161"/>
      <c r="AF137" s="161"/>
      <c r="AG137" s="161"/>
      <c r="AH137" s="161"/>
      <c r="AI137" s="161"/>
      <c r="AJ137" s="161"/>
      <c r="AK137" s="161"/>
      <c r="AL137" s="161"/>
      <c r="AM137" s="161"/>
      <c r="AN137" s="161"/>
      <c r="AO137" s="161"/>
      <c r="AP137" s="161"/>
      <c r="AQ137" s="161"/>
      <c r="AR137" s="161"/>
      <c r="AS137" s="161"/>
      <c r="AT137" s="161"/>
      <c r="AU137" s="161"/>
      <c r="AV137" s="161"/>
      <c r="AW137" s="161"/>
      <c r="AX137" s="161"/>
      <c r="AY137" s="161"/>
      <c r="AZ137" s="161"/>
      <c r="BA137" s="161"/>
      <c r="BB137" s="161"/>
    </row>
    <row r="138" spans="1:54" ht="11.25" customHeight="1" x14ac:dyDescent="0.2">
      <c r="A138" s="161"/>
      <c r="B138" s="1428" t="s">
        <v>1398</v>
      </c>
      <c r="C138" s="1403"/>
      <c r="D138" s="1394"/>
      <c r="E138" s="1394"/>
      <c r="F138" s="1394"/>
      <c r="G138" s="1394"/>
      <c r="H138" s="704"/>
      <c r="I138" s="704"/>
      <c r="J138" s="704"/>
      <c r="K138" s="704"/>
      <c r="L138" s="704"/>
      <c r="M138" s="663"/>
      <c r="N138" s="663"/>
      <c r="O138" s="663"/>
      <c r="P138" s="663"/>
      <c r="Q138" s="663"/>
      <c r="R138" s="663"/>
      <c r="S138" s="161"/>
      <c r="T138" s="161"/>
      <c r="U138" s="161"/>
      <c r="V138" s="161"/>
      <c r="W138" s="161"/>
      <c r="X138" s="161"/>
      <c r="Y138" s="161"/>
      <c r="Z138" s="161"/>
      <c r="AA138" s="161"/>
      <c r="AB138" s="161"/>
      <c r="AC138" s="161"/>
      <c r="AD138" s="161"/>
      <c r="AE138" s="161"/>
      <c r="AF138" s="161"/>
      <c r="AG138" s="161"/>
      <c r="AH138" s="161"/>
      <c r="AI138" s="161"/>
      <c r="AJ138" s="161"/>
      <c r="AK138" s="161"/>
      <c r="AL138" s="161"/>
      <c r="AM138" s="161"/>
      <c r="AN138" s="161"/>
      <c r="AO138" s="161"/>
      <c r="AP138" s="161"/>
      <c r="AQ138" s="161"/>
      <c r="AR138" s="161"/>
      <c r="AS138" s="161"/>
      <c r="AT138" s="161"/>
      <c r="AU138" s="161"/>
      <c r="AV138" s="161"/>
      <c r="AW138" s="161"/>
      <c r="AX138" s="161"/>
      <c r="AY138" s="161"/>
      <c r="AZ138" s="161"/>
      <c r="BA138" s="161"/>
      <c r="BB138" s="161"/>
    </row>
    <row r="139" spans="1:54" ht="11.25" customHeight="1" x14ac:dyDescent="0.2">
      <c r="A139" s="161"/>
      <c r="B139" s="1428" t="s">
        <v>1400</v>
      </c>
      <c r="C139" s="1403"/>
      <c r="D139" s="1394"/>
      <c r="E139" s="1394"/>
      <c r="F139" s="1394"/>
      <c r="G139" s="1394"/>
      <c r="H139" s="704"/>
      <c r="I139" s="704"/>
      <c r="J139" s="704"/>
      <c r="K139" s="704"/>
      <c r="L139" s="704"/>
      <c r="M139" s="663"/>
      <c r="N139" s="663"/>
      <c r="O139" s="663"/>
      <c r="P139" s="663"/>
      <c r="Q139" s="663"/>
      <c r="R139" s="663"/>
      <c r="S139" s="161"/>
      <c r="T139" s="161"/>
      <c r="U139" s="161"/>
      <c r="V139" s="161"/>
      <c r="W139" s="161"/>
      <c r="X139" s="161"/>
      <c r="Y139" s="161"/>
      <c r="Z139" s="161"/>
      <c r="AA139" s="161"/>
      <c r="AB139" s="161"/>
      <c r="AC139" s="161"/>
      <c r="AD139" s="161"/>
      <c r="AE139" s="161"/>
      <c r="AF139" s="161"/>
      <c r="AG139" s="161"/>
      <c r="AH139" s="161"/>
      <c r="AI139" s="161"/>
      <c r="AJ139" s="161"/>
      <c r="AK139" s="161"/>
      <c r="AL139" s="161"/>
      <c r="AM139" s="161"/>
      <c r="AN139" s="161"/>
      <c r="AO139" s="161"/>
      <c r="AP139" s="161"/>
      <c r="AQ139" s="161"/>
      <c r="AR139" s="161"/>
      <c r="AS139" s="161"/>
      <c r="AT139" s="161"/>
      <c r="AU139" s="161"/>
      <c r="AV139" s="161"/>
      <c r="AW139" s="161"/>
      <c r="AX139" s="161"/>
      <c r="AY139" s="161"/>
      <c r="AZ139" s="161"/>
      <c r="BA139" s="161"/>
      <c r="BB139" s="161"/>
    </row>
    <row r="140" spans="1:54" ht="11.25" customHeight="1" x14ac:dyDescent="0.2">
      <c r="A140" s="161"/>
      <c r="B140" s="1428" t="s">
        <v>1401</v>
      </c>
      <c r="C140" s="1403">
        <v>81702.274049030704</v>
      </c>
      <c r="D140" s="1394"/>
      <c r="E140" s="1394"/>
      <c r="F140" s="1394"/>
      <c r="G140" s="1394"/>
      <c r="H140" s="704"/>
      <c r="I140" s="1406"/>
      <c r="J140" s="704"/>
      <c r="K140" s="704"/>
      <c r="L140" s="704"/>
      <c r="M140" s="663"/>
      <c r="N140" s="663"/>
      <c r="O140" s="663"/>
      <c r="P140" s="663"/>
      <c r="Q140" s="663"/>
      <c r="R140" s="663"/>
      <c r="S140" s="161"/>
      <c r="T140" s="161"/>
      <c r="U140" s="161"/>
      <c r="V140" s="161"/>
      <c r="W140" s="161"/>
      <c r="X140" s="161"/>
      <c r="Y140" s="161"/>
      <c r="Z140" s="161"/>
      <c r="AA140" s="161"/>
      <c r="AB140" s="161"/>
      <c r="AC140" s="161"/>
      <c r="AD140" s="161"/>
      <c r="AE140" s="161"/>
      <c r="AF140" s="161"/>
      <c r="AG140" s="161"/>
      <c r="AH140" s="161"/>
      <c r="AI140" s="161"/>
      <c r="AJ140" s="161"/>
      <c r="AK140" s="161"/>
      <c r="AL140" s="161"/>
      <c r="AM140" s="161"/>
      <c r="AN140" s="161"/>
      <c r="AO140" s="161"/>
      <c r="AP140" s="161"/>
      <c r="AQ140" s="161"/>
      <c r="AR140" s="161"/>
      <c r="AS140" s="161"/>
      <c r="AT140" s="161"/>
      <c r="AU140" s="161"/>
      <c r="AV140" s="161"/>
      <c r="AW140" s="161"/>
      <c r="AX140" s="161"/>
      <c r="AY140" s="161"/>
      <c r="AZ140" s="161"/>
      <c r="BA140" s="161"/>
      <c r="BB140" s="161"/>
    </row>
    <row r="141" spans="1:54" ht="11.25" customHeight="1" x14ac:dyDescent="0.2">
      <c r="A141" s="161"/>
      <c r="B141" s="1431" t="s">
        <v>1402</v>
      </c>
      <c r="C141" s="1432">
        <v>5.0683858558632864E-3</v>
      </c>
      <c r="D141" s="1394"/>
      <c r="E141" s="1394"/>
      <c r="F141" s="1394"/>
      <c r="G141" s="1394"/>
      <c r="H141" s="1394"/>
      <c r="I141" s="1394"/>
      <c r="J141" s="1394"/>
      <c r="K141" s="1394"/>
      <c r="L141" s="1394"/>
      <c r="M141" s="161"/>
      <c r="N141" s="161"/>
      <c r="O141" s="161"/>
      <c r="P141" s="161"/>
      <c r="Q141" s="161"/>
      <c r="R141" s="161"/>
      <c r="S141" s="161"/>
      <c r="T141" s="161"/>
      <c r="U141" s="161"/>
      <c r="V141" s="161"/>
      <c r="W141" s="161"/>
      <c r="X141" s="161"/>
      <c r="Y141" s="161"/>
      <c r="Z141" s="161"/>
      <c r="AA141" s="161"/>
      <c r="AB141" s="161"/>
      <c r="AC141" s="161"/>
      <c r="AD141" s="161"/>
      <c r="AE141" s="161"/>
      <c r="AF141" s="161"/>
      <c r="AG141" s="161"/>
      <c r="AH141" s="161"/>
      <c r="AI141" s="161"/>
      <c r="AJ141" s="161"/>
      <c r="AK141" s="161"/>
      <c r="AL141" s="161"/>
      <c r="AM141" s="161"/>
      <c r="AN141" s="161"/>
      <c r="AO141" s="161"/>
      <c r="AP141" s="161"/>
      <c r="AQ141" s="161"/>
      <c r="AR141" s="161"/>
      <c r="AS141" s="161"/>
      <c r="AT141" s="161"/>
      <c r="AU141" s="161"/>
      <c r="AV141" s="161"/>
      <c r="AW141" s="161"/>
      <c r="AX141" s="161"/>
      <c r="AY141" s="161"/>
      <c r="AZ141" s="161"/>
      <c r="BA141" s="161"/>
      <c r="BB141" s="161"/>
    </row>
    <row r="142" spans="1:54" ht="11.25" customHeight="1" x14ac:dyDescent="0.2">
      <c r="A142" s="161"/>
      <c r="B142" s="1431" t="s">
        <v>1405</v>
      </c>
      <c r="C142" s="1434">
        <v>626599.38975749665</v>
      </c>
      <c r="D142" s="1394"/>
      <c r="E142" s="1394"/>
      <c r="F142" s="1394"/>
      <c r="G142" s="1394"/>
      <c r="H142" s="1394"/>
      <c r="I142" s="1394"/>
      <c r="J142" s="1394"/>
      <c r="K142" s="1394"/>
      <c r="L142" s="1394"/>
      <c r="M142" s="161"/>
      <c r="N142" s="161"/>
      <c r="O142" s="161"/>
      <c r="P142" s="161"/>
      <c r="Q142" s="161"/>
      <c r="R142" s="161"/>
      <c r="S142" s="161"/>
      <c r="T142" s="161"/>
      <c r="U142" s="161"/>
      <c r="V142" s="161"/>
      <c r="W142" s="161"/>
      <c r="X142" s="161"/>
      <c r="Y142" s="161"/>
      <c r="Z142" s="161"/>
      <c r="AA142" s="161"/>
      <c r="AB142" s="161"/>
      <c r="AC142" s="161"/>
      <c r="AD142" s="161"/>
      <c r="AE142" s="161"/>
      <c r="AF142" s="161"/>
      <c r="AG142" s="161"/>
      <c r="AH142" s="161"/>
      <c r="AI142" s="161"/>
      <c r="AJ142" s="161"/>
      <c r="AK142" s="161"/>
      <c r="AL142" s="161"/>
      <c r="AM142" s="161"/>
      <c r="AN142" s="161"/>
      <c r="AO142" s="161"/>
      <c r="AP142" s="161"/>
      <c r="AQ142" s="161"/>
      <c r="AR142" s="161"/>
      <c r="AS142" s="161"/>
      <c r="AT142" s="161"/>
      <c r="AU142" s="161"/>
      <c r="AV142" s="161"/>
      <c r="AW142" s="161"/>
      <c r="AX142" s="161"/>
      <c r="AY142" s="161"/>
      <c r="AZ142" s="161"/>
      <c r="BA142" s="161"/>
      <c r="BB142" s="161"/>
    </row>
    <row r="143" spans="1:54" ht="11.25" customHeight="1" x14ac:dyDescent="0.2">
      <c r="A143" s="161"/>
      <c r="B143" s="1431" t="s">
        <v>1407</v>
      </c>
      <c r="C143" s="1434">
        <v>3192.0259032791923</v>
      </c>
      <c r="D143" s="1394"/>
      <c r="E143" s="1394"/>
      <c r="F143" s="1394"/>
      <c r="G143" s="1394"/>
      <c r="H143" s="1394"/>
      <c r="I143" s="1394"/>
      <c r="J143" s="1394"/>
      <c r="K143" s="1394"/>
      <c r="L143" s="1394"/>
      <c r="M143" s="161"/>
      <c r="N143" s="161"/>
      <c r="O143" s="161"/>
      <c r="P143" s="161"/>
      <c r="Q143" s="161"/>
      <c r="R143" s="161"/>
      <c r="S143" s="161"/>
      <c r="T143" s="161"/>
      <c r="U143" s="161"/>
      <c r="V143" s="161"/>
      <c r="W143" s="161"/>
      <c r="X143" s="161"/>
      <c r="Y143" s="161"/>
      <c r="Z143" s="161"/>
      <c r="AA143" s="161"/>
      <c r="AB143" s="161"/>
      <c r="AC143" s="161"/>
      <c r="AD143" s="161"/>
      <c r="AE143" s="161"/>
      <c r="AF143" s="161"/>
      <c r="AG143" s="161"/>
      <c r="AH143" s="161"/>
      <c r="AI143" s="161"/>
      <c r="AJ143" s="161"/>
      <c r="AK143" s="161"/>
      <c r="AL143" s="161"/>
      <c r="AM143" s="161"/>
      <c r="AN143" s="161"/>
      <c r="AO143" s="161"/>
      <c r="AP143" s="161"/>
      <c r="AQ143" s="161"/>
      <c r="AR143" s="161"/>
      <c r="AS143" s="161"/>
      <c r="AT143" s="161"/>
      <c r="AU143" s="161"/>
      <c r="AV143" s="161"/>
      <c r="AW143" s="161"/>
      <c r="AX143" s="161"/>
      <c r="AY143" s="161"/>
      <c r="AZ143" s="161"/>
      <c r="BA143" s="161"/>
      <c r="BB143" s="161"/>
    </row>
    <row r="144" spans="1:54" ht="12" customHeight="1" x14ac:dyDescent="0.2">
      <c r="A144" s="74"/>
      <c r="B144" s="1061"/>
      <c r="C144" s="1062"/>
      <c r="D144" s="1063"/>
      <c r="E144" s="1063"/>
      <c r="F144" s="1063"/>
      <c r="G144" s="1064"/>
      <c r="H144" s="1065"/>
      <c r="I144" s="1066"/>
      <c r="J144" s="1065"/>
      <c r="K144" s="1067"/>
      <c r="L144" s="74"/>
      <c r="M144" s="1067"/>
      <c r="N144" s="74"/>
      <c r="O144" s="74"/>
      <c r="P144" s="74"/>
      <c r="Q144" s="74"/>
      <c r="R144" s="74"/>
      <c r="S144" s="74"/>
      <c r="T144" s="74"/>
      <c r="U144" s="74"/>
    </row>
    <row r="145" spans="1:81" ht="19.5" customHeight="1" x14ac:dyDescent="0.4">
      <c r="B145" s="1304" t="s">
        <v>1428</v>
      </c>
      <c r="C145" s="1068"/>
      <c r="D145" s="1069"/>
      <c r="E145" s="1069"/>
      <c r="F145" s="1069"/>
      <c r="G145" s="1446"/>
      <c r="H145" s="297"/>
      <c r="I145" s="1071"/>
      <c r="J145" s="297"/>
      <c r="K145" s="1072"/>
      <c r="M145" s="1072"/>
      <c r="AH145" s="1233" t="s">
        <v>1430</v>
      </c>
    </row>
    <row r="146" spans="1:81" ht="11.25" customHeight="1" x14ac:dyDescent="0.2">
      <c r="A146" s="161"/>
      <c r="B146" s="1428"/>
      <c r="C146" s="1394"/>
      <c r="D146" s="663"/>
      <c r="E146" s="161"/>
      <c r="F146" s="161"/>
      <c r="G146" s="161"/>
      <c r="H146" s="161"/>
      <c r="I146" s="663"/>
      <c r="J146" s="663"/>
      <c r="K146" s="161"/>
      <c r="L146" s="161"/>
      <c r="M146" s="1413" t="s">
        <v>1431</v>
      </c>
      <c r="N146" s="1413"/>
      <c r="O146" s="1413"/>
      <c r="P146" s="1413"/>
      <c r="Q146" s="1413"/>
      <c r="R146" s="161"/>
      <c r="S146" s="1413" t="s">
        <v>1433</v>
      </c>
      <c r="T146" s="1413"/>
      <c r="U146" s="1413"/>
      <c r="V146" s="161"/>
      <c r="W146" s="161"/>
      <c r="X146" s="161"/>
      <c r="Y146" s="161"/>
      <c r="Z146" s="161"/>
      <c r="AA146" s="161"/>
      <c r="AB146" s="161"/>
      <c r="AC146" s="161"/>
      <c r="AD146" s="161"/>
      <c r="AE146" s="161"/>
      <c r="AF146" s="161"/>
      <c r="AG146" s="161"/>
      <c r="AH146" s="1447" t="s">
        <v>1434</v>
      </c>
      <c r="AI146" s="161"/>
      <c r="AJ146" s="161"/>
      <c r="AK146" s="161"/>
      <c r="AL146" s="161"/>
      <c r="AM146" s="161"/>
      <c r="AN146" s="161"/>
      <c r="AO146" s="161"/>
      <c r="AP146" s="161"/>
      <c r="AQ146" s="161"/>
      <c r="AR146" s="161"/>
      <c r="AS146" s="161"/>
      <c r="AT146" s="161"/>
      <c r="AU146" s="161"/>
      <c r="AV146" s="161"/>
      <c r="AW146" s="161"/>
      <c r="AX146" s="161"/>
      <c r="AY146" s="161"/>
      <c r="AZ146" s="161"/>
      <c r="BA146" s="161"/>
      <c r="BB146" s="161"/>
    </row>
    <row r="147" spans="1:81" ht="58.5" customHeight="1" x14ac:dyDescent="0.2">
      <c r="A147" s="161"/>
      <c r="B147" s="1322"/>
      <c r="C147" s="1439" t="s">
        <v>1435</v>
      </c>
      <c r="D147" s="653"/>
      <c r="E147" s="653" t="s">
        <v>1436</v>
      </c>
      <c r="F147" s="161"/>
      <c r="G147" s="653" t="s">
        <v>1437</v>
      </c>
      <c r="H147" s="161"/>
      <c r="I147" s="653" t="s">
        <v>1438</v>
      </c>
      <c r="J147" s="1322"/>
      <c r="K147" s="653" t="s">
        <v>1439</v>
      </c>
      <c r="L147" s="1322"/>
      <c r="M147" s="653" t="s">
        <v>1440</v>
      </c>
      <c r="N147" s="653"/>
      <c r="O147" s="653" t="s">
        <v>1441</v>
      </c>
      <c r="P147" s="653"/>
      <c r="Q147" s="653" t="s">
        <v>1442</v>
      </c>
      <c r="R147" s="1322"/>
      <c r="S147" s="653" t="s">
        <v>1443</v>
      </c>
      <c r="T147" s="653"/>
      <c r="U147" s="653" t="s">
        <v>1444</v>
      </c>
      <c r="V147" s="1322"/>
      <c r="W147" s="653" t="s">
        <v>1445</v>
      </c>
      <c r="X147" s="1322"/>
      <c r="Y147" s="1322"/>
      <c r="Z147" s="161"/>
      <c r="AA147" s="161"/>
      <c r="AB147" s="161"/>
      <c r="AC147" s="161"/>
      <c r="AD147" s="161"/>
      <c r="AE147" s="161"/>
      <c r="AF147" s="161"/>
      <c r="AG147" s="161"/>
      <c r="AH147" s="1835" t="s">
        <v>1446</v>
      </c>
      <c r="AI147" s="1786"/>
      <c r="AJ147" s="1786"/>
      <c r="AK147" s="1786"/>
      <c r="AL147" s="1786"/>
      <c r="AM147" s="1786"/>
      <c r="AN147" s="1786"/>
      <c r="AO147" s="25"/>
      <c r="AP147" s="1835" t="s">
        <v>1447</v>
      </c>
      <c r="AQ147" s="1786"/>
      <c r="AR147" s="1786"/>
      <c r="AS147" s="1786"/>
      <c r="AT147" s="25"/>
      <c r="AU147" s="1835" t="s">
        <v>1448</v>
      </c>
      <c r="AV147" s="1786"/>
      <c r="AW147" s="25"/>
      <c r="AX147" s="1835" t="s">
        <v>1449</v>
      </c>
      <c r="AY147" s="1786"/>
      <c r="AZ147" s="25"/>
      <c r="BA147" s="1836" t="s">
        <v>1013</v>
      </c>
      <c r="BB147" s="1766"/>
      <c r="BC147" s="1766"/>
      <c r="BD147" s="1766"/>
      <c r="BE147" s="1766"/>
      <c r="BF147" s="1766"/>
      <c r="BG147" s="24"/>
      <c r="BH147" s="1836" t="s">
        <v>1076</v>
      </c>
      <c r="BI147" s="1766"/>
      <c r="BJ147" s="1766"/>
      <c r="BK147" s="1766"/>
      <c r="BL147" s="1766"/>
      <c r="BM147" s="24"/>
      <c r="BN147" s="1837" t="s">
        <v>1102</v>
      </c>
      <c r="BO147" s="1786"/>
      <c r="BP147" s="1449"/>
      <c r="BQ147" s="1838" t="s">
        <v>1104</v>
      </c>
      <c r="BR147" s="1766"/>
      <c r="BS147" s="1766"/>
      <c r="BT147" s="24"/>
      <c r="BU147" s="1837" t="s">
        <v>1011</v>
      </c>
      <c r="BV147" s="1786"/>
      <c r="BW147" s="1786"/>
      <c r="BX147" s="1449"/>
      <c r="BY147" s="1837" t="s">
        <v>1012</v>
      </c>
      <c r="BZ147" s="1786"/>
      <c r="CA147" s="24"/>
      <c r="CB147" s="1831" t="s">
        <v>1014</v>
      </c>
      <c r="CC147" s="1832"/>
    </row>
    <row r="148" spans="1:81" ht="34.5" customHeight="1" x14ac:dyDescent="0.2">
      <c r="A148" s="161"/>
      <c r="B148" s="656" t="s">
        <v>991</v>
      </c>
      <c r="C148" s="1439"/>
      <c r="D148" s="806"/>
      <c r="E148" s="161"/>
      <c r="F148" s="161"/>
      <c r="G148" s="161"/>
      <c r="H148" s="161"/>
      <c r="I148" s="653"/>
      <c r="J148" s="1322"/>
      <c r="K148" s="653"/>
      <c r="L148" s="1322"/>
      <c r="M148" s="1428"/>
      <c r="N148" s="1428"/>
      <c r="O148" s="1322"/>
      <c r="P148" s="1322"/>
      <c r="Q148" s="1322"/>
      <c r="R148" s="1322"/>
      <c r="S148" s="1428"/>
      <c r="T148" s="1428"/>
      <c r="U148" s="1322"/>
      <c r="V148" s="1322"/>
      <c r="W148" s="161"/>
      <c r="X148" s="161"/>
      <c r="Y148" s="161"/>
      <c r="Z148" s="161"/>
      <c r="AA148" s="161"/>
      <c r="AB148" s="161"/>
      <c r="AC148" s="161"/>
      <c r="AD148" s="161"/>
      <c r="AE148" s="161"/>
      <c r="AF148" s="161"/>
      <c r="AG148" s="161"/>
      <c r="AH148" s="1452" t="s">
        <v>1451</v>
      </c>
      <c r="AI148" s="1453" t="s">
        <v>1452</v>
      </c>
      <c r="AJ148" s="1453" t="s">
        <v>1453</v>
      </c>
      <c r="AK148" s="1453" t="s">
        <v>1454</v>
      </c>
      <c r="AL148" s="1453" t="s">
        <v>1455</v>
      </c>
      <c r="AM148" s="1453" t="s">
        <v>1456</v>
      </c>
      <c r="AN148" s="1455" t="s">
        <v>1457</v>
      </c>
      <c r="AO148" s="25"/>
      <c r="AP148" s="1456" t="s">
        <v>1451</v>
      </c>
      <c r="AQ148" s="1453" t="s">
        <v>1458</v>
      </c>
      <c r="AR148" s="1453" t="s">
        <v>1459</v>
      </c>
      <c r="AS148" s="1455" t="s">
        <v>1454</v>
      </c>
      <c r="AT148" s="25"/>
      <c r="AU148" s="1456" t="s">
        <v>1460</v>
      </c>
      <c r="AV148" s="1455" t="s">
        <v>1461</v>
      </c>
      <c r="AW148" s="25"/>
      <c r="AX148" s="1456" t="s">
        <v>1460</v>
      </c>
      <c r="AY148" s="1455" t="s">
        <v>1456</v>
      </c>
      <c r="AZ148" s="25"/>
      <c r="BA148" s="1457" t="s">
        <v>1451</v>
      </c>
      <c r="BB148" s="1453" t="s">
        <v>1456</v>
      </c>
      <c r="BC148" s="1453" t="s">
        <v>1455</v>
      </c>
      <c r="BD148" s="1453" t="s">
        <v>1453</v>
      </c>
      <c r="BE148" s="1453" t="s">
        <v>1452</v>
      </c>
      <c r="BF148" s="1455" t="s">
        <v>1457</v>
      </c>
      <c r="BG148" s="1233"/>
      <c r="BH148" s="1457" t="s">
        <v>1451</v>
      </c>
      <c r="BI148" s="1453" t="s">
        <v>1455</v>
      </c>
      <c r="BJ148" s="1453" t="s">
        <v>1453</v>
      </c>
      <c r="BK148" s="1453" t="s">
        <v>1452</v>
      </c>
      <c r="BL148" s="1455" t="s">
        <v>1462</v>
      </c>
      <c r="BM148" s="1233"/>
      <c r="BN148" s="1456" t="s">
        <v>1292</v>
      </c>
      <c r="BO148" s="1455" t="s">
        <v>1299</v>
      </c>
      <c r="BP148" s="1458"/>
      <c r="BQ148" s="1456" t="s">
        <v>1292</v>
      </c>
      <c r="BR148" s="1459" t="s">
        <v>1299</v>
      </c>
      <c r="BS148" s="1460" t="s">
        <v>1464</v>
      </c>
      <c r="BT148" s="24"/>
      <c r="BU148" s="1452" t="s">
        <v>1451</v>
      </c>
      <c r="BV148" s="1461" t="s">
        <v>1466</v>
      </c>
      <c r="BW148" s="1462" t="s">
        <v>1467</v>
      </c>
      <c r="BX148" s="1463"/>
      <c r="BY148" s="1464" t="s">
        <v>1460</v>
      </c>
      <c r="BZ148" s="1465" t="s">
        <v>1468</v>
      </c>
      <c r="CA148" s="24"/>
      <c r="CB148" s="1456" t="s">
        <v>1460</v>
      </c>
      <c r="CC148" s="1460" t="s">
        <v>1468</v>
      </c>
    </row>
    <row r="149" spans="1:81" ht="13.5" customHeight="1" x14ac:dyDescent="0.2">
      <c r="A149" s="161"/>
      <c r="B149" s="1466" t="s">
        <v>993</v>
      </c>
      <c r="C149" s="1467">
        <v>70</v>
      </c>
      <c r="D149" s="663"/>
      <c r="E149" s="161">
        <v>604</v>
      </c>
      <c r="F149" s="161"/>
      <c r="G149" s="161">
        <v>0.44</v>
      </c>
      <c r="H149" s="161"/>
      <c r="I149" s="1425">
        <f t="shared" ref="I149:I150" si="64">C149*E149*G149*365</f>
        <v>6790168</v>
      </c>
      <c r="J149" s="663"/>
      <c r="K149" s="1425">
        <f t="shared" ref="K149:K150" si="65">(I149*0.2*0.01)/1000</f>
        <v>13.580336000000001</v>
      </c>
      <c r="L149" s="1468"/>
      <c r="M149" s="1434">
        <f>C149*(AI149+AJ149+AL149+AN149)*E149*G149*365</f>
        <v>3328752.5815385436</v>
      </c>
      <c r="N149" s="161"/>
      <c r="O149" s="1434">
        <f>C149*(AM149)*E149*G149*365</f>
        <v>447882.21253309777</v>
      </c>
      <c r="P149" s="1394"/>
      <c r="Q149" s="1434">
        <f>C149*(AK149)*E149*G149*365</f>
        <v>3013533.2059283582</v>
      </c>
      <c r="R149" s="1394"/>
      <c r="S149" s="1420">
        <f t="shared" ref="S149:S150" si="66">((M149+Q149)*(1-0.2)*0.0125)/1000</f>
        <v>63.422857874669035</v>
      </c>
      <c r="T149" s="1469"/>
      <c r="U149" s="1434">
        <f t="shared" ref="U149:U150" si="67">(O149*0.02)/1000</f>
        <v>8.9576442506619554</v>
      </c>
      <c r="V149" s="161"/>
      <c r="W149" s="1470">
        <f>K117</f>
        <v>19328.712763893323</v>
      </c>
      <c r="X149" s="161" t="s">
        <v>1469</v>
      </c>
      <c r="Y149" s="161"/>
      <c r="Z149" s="161"/>
      <c r="AA149" s="161"/>
      <c r="AB149" s="161"/>
      <c r="AC149" s="161"/>
      <c r="AD149" s="161"/>
      <c r="AE149" s="161"/>
      <c r="AF149" s="161"/>
      <c r="AG149" s="161"/>
      <c r="AH149" s="1471" t="s">
        <v>1470</v>
      </c>
      <c r="AI149" s="1472">
        <v>7.6488535055593554E-2</v>
      </c>
      <c r="AJ149" s="1472">
        <v>0.15472472257238745</v>
      </c>
      <c r="AK149" s="1472">
        <v>0.44380834258126728</v>
      </c>
      <c r="AL149" s="1472">
        <v>0.22861605738914034</v>
      </c>
      <c r="AM149" s="1472">
        <v>6.5960402236453913E-2</v>
      </c>
      <c r="AN149" s="1473">
        <v>3.0401940165157418E-2</v>
      </c>
      <c r="AO149" s="25"/>
      <c r="AP149" s="1471" t="s">
        <v>1470</v>
      </c>
      <c r="AQ149" s="1472">
        <f>1-SUM(AR149:AS149)</f>
        <v>0.49023125518227884</v>
      </c>
      <c r="AR149" s="1472">
        <v>6.5960402236453913E-2</v>
      </c>
      <c r="AS149" s="1473">
        <v>0.44380834258126728</v>
      </c>
      <c r="AT149" s="25"/>
      <c r="AU149" s="1471" t="s">
        <v>1470</v>
      </c>
      <c r="AV149" s="1474">
        <v>1</v>
      </c>
      <c r="AW149" s="25"/>
      <c r="AX149" s="1471" t="s">
        <v>1470</v>
      </c>
      <c r="AY149" s="1474">
        <v>1</v>
      </c>
      <c r="AZ149" s="25"/>
      <c r="BA149" s="1471" t="s">
        <v>1470</v>
      </c>
      <c r="BB149" s="1475">
        <v>0.21140679400000001</v>
      </c>
      <c r="BC149" s="1472">
        <v>3.7602905999999998E-2</v>
      </c>
      <c r="BD149" s="1472">
        <v>0.214504853</v>
      </c>
      <c r="BE149" s="1472">
        <v>0.15671048400000001</v>
      </c>
      <c r="BF149" s="1473">
        <v>0.37977496300000002</v>
      </c>
      <c r="BG149" s="24"/>
      <c r="BH149" s="1476" t="s">
        <v>1470</v>
      </c>
      <c r="BI149" s="1472">
        <v>0</v>
      </c>
      <c r="BJ149" s="1472">
        <v>0</v>
      </c>
      <c r="BK149" s="1472">
        <v>0.05</v>
      </c>
      <c r="BL149" s="1473">
        <v>0.95</v>
      </c>
      <c r="BM149" s="161"/>
      <c r="BN149" s="1477" t="s">
        <v>1473</v>
      </c>
      <c r="BO149" s="1478">
        <v>1</v>
      </c>
      <c r="BP149" s="161"/>
      <c r="BQ149" s="1480" t="s">
        <v>1473</v>
      </c>
      <c r="BR149" s="1481">
        <v>0.9</v>
      </c>
      <c r="BS149" s="1482">
        <v>0.1</v>
      </c>
      <c r="BT149" s="161"/>
      <c r="BU149" s="1480" t="s">
        <v>1473</v>
      </c>
      <c r="BV149" s="1483">
        <v>0</v>
      </c>
      <c r="BW149" s="1478">
        <v>1</v>
      </c>
      <c r="BX149" s="161"/>
      <c r="BY149" s="1477" t="s">
        <v>1473</v>
      </c>
      <c r="BZ149" s="1478">
        <v>1</v>
      </c>
      <c r="CA149" s="161"/>
      <c r="CB149" s="1480" t="s">
        <v>1473</v>
      </c>
      <c r="CC149" s="1478">
        <v>1</v>
      </c>
    </row>
    <row r="150" spans="1:81" ht="12.75" customHeight="1" x14ac:dyDescent="0.2">
      <c r="A150" s="161"/>
      <c r="B150" s="1428" t="s">
        <v>1000</v>
      </c>
      <c r="C150" s="1467">
        <v>30</v>
      </c>
      <c r="D150" s="663"/>
      <c r="E150" s="161">
        <v>476</v>
      </c>
      <c r="F150" s="161"/>
      <c r="G150" s="161">
        <v>0.31</v>
      </c>
      <c r="H150" s="161"/>
      <c r="I150" s="1425">
        <f t="shared" si="64"/>
        <v>1615782</v>
      </c>
      <c r="J150" s="663"/>
      <c r="K150" s="1425">
        <f t="shared" si="65"/>
        <v>3.2315640000000001</v>
      </c>
      <c r="L150" s="1468"/>
      <c r="M150" s="1434">
        <f>C150*(AQ149)*E150*G150*365</f>
        <v>792106.83796093287</v>
      </c>
      <c r="N150" s="161"/>
      <c r="O150" s="1434">
        <f>C150*(AR149)*E150*G150*365</f>
        <v>106577.63064642198</v>
      </c>
      <c r="P150" s="161"/>
      <c r="Q150" s="1434">
        <f>C150*(AK149)*E150*G150*365</f>
        <v>717097.53139264521</v>
      </c>
      <c r="R150" s="1394"/>
      <c r="S150" s="1420">
        <f t="shared" si="66"/>
        <v>15.092043693535782</v>
      </c>
      <c r="T150" s="1469"/>
      <c r="U150" s="1434">
        <f t="shared" si="67"/>
        <v>2.1315526129284397</v>
      </c>
      <c r="V150" s="161"/>
      <c r="W150" s="1470">
        <f>K116</f>
        <v>46082212.211140171</v>
      </c>
      <c r="X150" s="161" t="s">
        <v>1478</v>
      </c>
      <c r="Y150" s="656"/>
      <c r="Z150" s="161"/>
      <c r="AA150" s="161"/>
      <c r="AB150" s="161"/>
      <c r="AC150" s="161"/>
      <c r="AD150" s="161"/>
      <c r="AE150" s="161"/>
      <c r="AF150" s="161"/>
      <c r="AG150" s="161"/>
      <c r="AH150" s="161"/>
      <c r="AI150" s="161"/>
      <c r="AJ150" s="161"/>
      <c r="AK150" s="161"/>
      <c r="AL150" s="161"/>
      <c r="AM150" s="161"/>
      <c r="AN150" s="161"/>
      <c r="AO150" s="161"/>
      <c r="AP150" s="161"/>
      <c r="AQ150" s="161"/>
      <c r="AR150" s="161"/>
      <c r="AS150" s="161"/>
      <c r="AT150" s="161"/>
      <c r="AU150" s="161"/>
      <c r="AV150" s="161"/>
      <c r="AW150" s="161"/>
      <c r="AX150" s="161"/>
      <c r="AY150" s="161"/>
      <c r="AZ150" s="161"/>
      <c r="BA150" s="161"/>
      <c r="BB150" s="161"/>
      <c r="BC150" s="161"/>
      <c r="BD150" s="161"/>
      <c r="BE150" s="161"/>
      <c r="BF150" s="161"/>
      <c r="BG150" s="161"/>
      <c r="BH150" s="161"/>
      <c r="BI150" s="161"/>
      <c r="BJ150" s="161"/>
      <c r="BK150" s="161"/>
      <c r="BL150" s="161"/>
      <c r="BM150" s="161"/>
      <c r="BN150" s="161"/>
      <c r="BO150" s="161"/>
      <c r="BP150" s="161"/>
      <c r="BQ150" s="161"/>
      <c r="BR150" s="161"/>
      <c r="BS150" s="161"/>
      <c r="BT150" s="161"/>
      <c r="BU150" s="161"/>
      <c r="BV150" s="161"/>
      <c r="BW150" s="161"/>
      <c r="BX150" s="161"/>
      <c r="BY150" s="161"/>
      <c r="BZ150" s="161"/>
      <c r="CA150" s="161"/>
      <c r="CB150" s="161"/>
      <c r="CC150" s="161"/>
    </row>
    <row r="151" spans="1:81" ht="12" customHeight="1" x14ac:dyDescent="0.2">
      <c r="A151" s="161"/>
      <c r="B151" s="656" t="s">
        <v>1003</v>
      </c>
      <c r="C151" s="1487"/>
      <c r="D151" s="663"/>
      <c r="E151" s="161"/>
      <c r="F151" s="161"/>
      <c r="G151" s="161"/>
      <c r="H151" s="161"/>
      <c r="I151" s="704"/>
      <c r="J151" s="663"/>
      <c r="K151" s="1488"/>
      <c r="L151" s="161"/>
      <c r="M151" s="1394"/>
      <c r="N151" s="161"/>
      <c r="O151" s="161"/>
      <c r="P151" s="161"/>
      <c r="Q151" s="161"/>
      <c r="R151" s="1394"/>
      <c r="S151" s="1421"/>
      <c r="T151" s="161"/>
      <c r="U151" s="161"/>
      <c r="V151" s="161"/>
      <c r="W151" s="1489">
        <f>SUM(W149:W150)/1000*0.3</f>
        <v>13830.462277171218</v>
      </c>
      <c r="X151" s="656" t="s">
        <v>1480</v>
      </c>
      <c r="Y151" s="161"/>
      <c r="Z151" s="161"/>
      <c r="AA151" s="161"/>
      <c r="AB151" s="161"/>
      <c r="AC151" s="161"/>
      <c r="AD151" s="161"/>
      <c r="AE151" s="161"/>
      <c r="AF151" s="161"/>
      <c r="AG151" s="161"/>
      <c r="AH151" s="161"/>
      <c r="AI151" s="161"/>
      <c r="AJ151" s="161"/>
      <c r="AK151" s="161"/>
      <c r="AL151" s="161"/>
      <c r="AM151" s="161"/>
      <c r="AN151" s="161"/>
      <c r="AO151" s="161"/>
      <c r="AP151" s="161"/>
      <c r="AQ151" s="161"/>
      <c r="AR151" s="161"/>
      <c r="AS151" s="161"/>
      <c r="AT151" s="161"/>
      <c r="AU151" s="161"/>
      <c r="AV151" s="161"/>
      <c r="AW151" s="161"/>
      <c r="AX151" s="161"/>
      <c r="AY151" s="161"/>
      <c r="AZ151" s="161"/>
      <c r="BA151" s="161"/>
      <c r="BB151" s="161"/>
      <c r="BC151" s="161"/>
      <c r="BD151" s="161"/>
      <c r="BE151" s="161"/>
      <c r="BF151" s="161"/>
      <c r="BG151" s="161"/>
      <c r="BH151" s="161"/>
      <c r="BI151" s="161"/>
      <c r="BJ151" s="161"/>
      <c r="BK151" s="161"/>
      <c r="BL151" s="161"/>
      <c r="BM151" s="161"/>
      <c r="BN151" s="161"/>
      <c r="BO151" s="161"/>
      <c r="BP151" s="161"/>
      <c r="BQ151" s="161"/>
      <c r="BR151" s="161"/>
      <c r="BS151" s="161"/>
      <c r="BT151" s="161"/>
      <c r="BU151" s="161"/>
      <c r="BV151" s="161"/>
      <c r="BW151" s="161"/>
      <c r="BX151" s="161"/>
      <c r="BY151" s="161"/>
      <c r="BZ151" s="161"/>
      <c r="CA151" s="161"/>
      <c r="CB151" s="161"/>
      <c r="CC151" s="161"/>
    </row>
    <row r="152" spans="1:81" ht="11.25" customHeight="1" x14ac:dyDescent="0.2">
      <c r="A152" s="161"/>
      <c r="B152" s="1428" t="s">
        <v>1008</v>
      </c>
      <c r="C152" s="1467">
        <v>3.9119999999999999</v>
      </c>
      <c r="D152" s="663"/>
      <c r="E152" s="161">
        <v>420</v>
      </c>
      <c r="F152" s="161"/>
      <c r="G152" s="161">
        <v>0.3</v>
      </c>
      <c r="H152" s="161"/>
      <c r="I152" s="1425">
        <f t="shared" ref="I152:I158" si="68">C152*E152*G152*365</f>
        <v>179912.88</v>
      </c>
      <c r="J152" s="663"/>
      <c r="K152" s="1425">
        <f t="shared" ref="K152:K158" si="69">(I152*0.2*0.01)/1000</f>
        <v>0.35982575999999999</v>
      </c>
      <c r="L152" s="1468"/>
      <c r="M152" s="1434">
        <f>C152*(AV149)*E152*G152*365</f>
        <v>179912.88</v>
      </c>
      <c r="N152" s="161"/>
      <c r="O152" s="1417" t="s">
        <v>708</v>
      </c>
      <c r="P152" s="1490"/>
      <c r="Q152" s="1417" t="s">
        <v>708</v>
      </c>
      <c r="R152" s="1394"/>
      <c r="S152" s="1420">
        <f t="shared" ref="S152:S153" si="70">((M152)*(1-0.2)*0.0125)/1000</f>
        <v>1.7991288000000001</v>
      </c>
      <c r="T152" s="1469"/>
      <c r="U152" s="1417" t="s">
        <v>708</v>
      </c>
      <c r="V152" s="652"/>
      <c r="W152" s="1491"/>
      <c r="X152" s="161"/>
      <c r="Y152" s="161"/>
      <c r="Z152" s="161"/>
      <c r="AA152" s="161"/>
      <c r="AB152" s="161"/>
      <c r="AC152" s="161"/>
      <c r="AD152" s="161"/>
      <c r="AE152" s="161"/>
      <c r="AF152" s="161"/>
      <c r="AG152" s="161"/>
      <c r="AH152" s="161"/>
      <c r="AI152" s="161"/>
      <c r="AJ152" s="161"/>
      <c r="AK152" s="161"/>
      <c r="AL152" s="161"/>
      <c r="AM152" s="161"/>
      <c r="AN152" s="161"/>
      <c r="AO152" s="161"/>
      <c r="AP152" s="161"/>
      <c r="AQ152" s="161"/>
      <c r="AR152" s="161"/>
      <c r="AS152" s="161"/>
      <c r="AT152" s="161"/>
      <c r="AU152" s="161"/>
      <c r="AV152" s="161"/>
      <c r="AW152" s="161"/>
      <c r="AX152" s="161"/>
      <c r="AY152" s="161"/>
      <c r="AZ152" s="161"/>
      <c r="BA152" s="161"/>
      <c r="BB152" s="161"/>
      <c r="BC152" s="161"/>
      <c r="BD152" s="161"/>
      <c r="BE152" s="161"/>
      <c r="BF152" s="161"/>
      <c r="BG152" s="161"/>
      <c r="BH152" s="161"/>
      <c r="BI152" s="161"/>
      <c r="BJ152" s="161"/>
      <c r="BK152" s="161"/>
      <c r="BL152" s="161"/>
      <c r="BM152" s="161"/>
      <c r="BN152" s="161"/>
      <c r="BO152" s="161"/>
      <c r="BP152" s="161"/>
      <c r="BQ152" s="161"/>
      <c r="BR152" s="161"/>
      <c r="BS152" s="161"/>
      <c r="BT152" s="161"/>
      <c r="BU152" s="161"/>
      <c r="BV152" s="161"/>
      <c r="BW152" s="161"/>
      <c r="BX152" s="161"/>
      <c r="BY152" s="161"/>
      <c r="BZ152" s="161"/>
      <c r="CA152" s="161"/>
      <c r="CB152" s="161"/>
      <c r="CC152" s="161"/>
    </row>
    <row r="153" spans="1:81" ht="12" customHeight="1" x14ac:dyDescent="0.2">
      <c r="A153" s="161"/>
      <c r="B153" s="1428" t="s">
        <v>1009</v>
      </c>
      <c r="C153" s="1467">
        <v>7.3949999999999996</v>
      </c>
      <c r="D153" s="663"/>
      <c r="E153" s="161">
        <v>420</v>
      </c>
      <c r="F153" s="161"/>
      <c r="G153" s="161">
        <v>0.3</v>
      </c>
      <c r="H153" s="161"/>
      <c r="I153" s="1425">
        <f t="shared" si="68"/>
        <v>340096.04999999993</v>
      </c>
      <c r="J153" s="663"/>
      <c r="K153" s="1425">
        <f t="shared" si="69"/>
        <v>0.68019209999999997</v>
      </c>
      <c r="L153" s="1468"/>
      <c r="M153" s="1434">
        <f>C153*AV149*E153*G153*365</f>
        <v>340096.04999999993</v>
      </c>
      <c r="N153" s="161"/>
      <c r="O153" s="1417" t="s">
        <v>708</v>
      </c>
      <c r="P153" s="1490"/>
      <c r="Q153" s="1417" t="s">
        <v>708</v>
      </c>
      <c r="R153" s="1394"/>
      <c r="S153" s="1420">
        <f t="shared" si="70"/>
        <v>3.4009604999999996</v>
      </c>
      <c r="T153" s="1469"/>
      <c r="U153" s="1417" t="s">
        <v>708</v>
      </c>
      <c r="V153" s="652"/>
      <c r="W153" s="1470">
        <f>I177</f>
        <v>39420248.386150002</v>
      </c>
      <c r="X153" s="161" t="s">
        <v>1492</v>
      </c>
      <c r="Y153" s="656"/>
      <c r="Z153" s="161"/>
      <c r="AA153" s="161"/>
      <c r="AB153" s="161"/>
      <c r="AC153" s="161"/>
      <c r="AD153" s="161"/>
      <c r="AE153" s="161"/>
      <c r="AF153" s="161"/>
      <c r="AG153" s="161"/>
      <c r="AH153" s="161"/>
      <c r="AI153" s="161"/>
      <c r="AJ153" s="161"/>
      <c r="AK153" s="161"/>
      <c r="AL153" s="161"/>
      <c r="AM153" s="161"/>
      <c r="AN153" s="161"/>
      <c r="AO153" s="161"/>
      <c r="AP153" s="161"/>
      <c r="AQ153" s="161"/>
      <c r="AR153" s="161"/>
      <c r="AS153" s="161"/>
      <c r="AT153" s="161"/>
      <c r="AU153" s="161"/>
      <c r="AV153" s="161"/>
      <c r="AW153" s="161"/>
      <c r="AX153" s="161"/>
      <c r="AY153" s="161"/>
      <c r="AZ153" s="161"/>
      <c r="BA153" s="161"/>
      <c r="BB153" s="161"/>
      <c r="BC153" s="161"/>
      <c r="BD153" s="161"/>
      <c r="BE153" s="161"/>
      <c r="BF153" s="161"/>
      <c r="BG153" s="161"/>
      <c r="BH153" s="161"/>
      <c r="BI153" s="161"/>
      <c r="BJ153" s="161"/>
      <c r="BK153" s="161"/>
      <c r="BL153" s="161"/>
      <c r="BM153" s="161"/>
      <c r="BN153" s="161"/>
      <c r="BO153" s="161"/>
      <c r="BP153" s="161"/>
      <c r="BQ153" s="161"/>
      <c r="BR153" s="161"/>
      <c r="BS153" s="161"/>
      <c r="BT153" s="161"/>
      <c r="BU153" s="161"/>
      <c r="BV153" s="161"/>
      <c r="BW153" s="161"/>
      <c r="BX153" s="161"/>
      <c r="BY153" s="161"/>
      <c r="BZ153" s="161"/>
      <c r="CA153" s="161"/>
      <c r="CB153" s="161"/>
      <c r="CC153" s="161"/>
    </row>
    <row r="154" spans="1:81" ht="12" customHeight="1" x14ac:dyDescent="0.2">
      <c r="A154" s="161"/>
      <c r="B154" s="1428" t="s">
        <v>1010</v>
      </c>
      <c r="C154" s="1467">
        <v>3</v>
      </c>
      <c r="D154" s="663"/>
      <c r="E154" s="161">
        <v>750</v>
      </c>
      <c r="F154" s="161"/>
      <c r="G154" s="161">
        <v>0.31</v>
      </c>
      <c r="H154" s="161"/>
      <c r="I154" s="1425">
        <f t="shared" si="68"/>
        <v>254587.5</v>
      </c>
      <c r="J154" s="663"/>
      <c r="K154" s="1425">
        <f t="shared" si="69"/>
        <v>0.50917500000000004</v>
      </c>
      <c r="L154" s="1468"/>
      <c r="M154" s="1425" t="s">
        <v>708</v>
      </c>
      <c r="N154" s="161"/>
      <c r="O154" s="1492">
        <f t="shared" ref="O154:O158" si="71">C154*(AY$149)*E154*G154*365</f>
        <v>254587.5</v>
      </c>
      <c r="P154" s="1490"/>
      <c r="Q154" s="1417" t="s">
        <v>708</v>
      </c>
      <c r="R154" s="1394"/>
      <c r="S154" s="1425" t="s">
        <v>708</v>
      </c>
      <c r="T154" s="1469"/>
      <c r="U154" s="1434">
        <f t="shared" ref="U154:U158" si="72">(O154*0.02)/1000</f>
        <v>5.0917500000000002</v>
      </c>
      <c r="V154" s="161"/>
      <c r="W154" s="1489">
        <f>(W153*(1-0)*0.3)/1000</f>
        <v>11826.074515845001</v>
      </c>
      <c r="X154" s="656" t="s">
        <v>1495</v>
      </c>
      <c r="Y154" s="161"/>
      <c r="Z154" s="161"/>
      <c r="AA154" s="161"/>
      <c r="AB154" s="161"/>
      <c r="AC154" s="161"/>
      <c r="AD154" s="161"/>
      <c r="AE154" s="161"/>
      <c r="AF154" s="161"/>
      <c r="AG154" s="161"/>
      <c r="AH154" s="161"/>
      <c r="AI154" s="161"/>
      <c r="AJ154" s="161"/>
      <c r="AK154" s="161"/>
      <c r="AL154" s="161"/>
      <c r="AM154" s="161"/>
      <c r="AN154" s="161"/>
      <c r="AO154" s="161"/>
      <c r="AP154" s="161"/>
      <c r="AQ154" s="161"/>
      <c r="AR154" s="161"/>
      <c r="AS154" s="161"/>
      <c r="AT154" s="161"/>
      <c r="AU154" s="161"/>
      <c r="AV154" s="161"/>
      <c r="AW154" s="161"/>
      <c r="AX154" s="161"/>
      <c r="AY154" s="161"/>
      <c r="AZ154" s="161"/>
      <c r="BA154" s="161"/>
      <c r="BB154" s="161"/>
      <c r="BC154" s="161"/>
      <c r="BD154" s="161"/>
      <c r="BE154" s="161"/>
      <c r="BF154" s="161"/>
      <c r="BG154" s="161"/>
      <c r="BH154" s="161"/>
      <c r="BI154" s="161"/>
      <c r="BJ154" s="161"/>
      <c r="BK154" s="161"/>
      <c r="BL154" s="161"/>
      <c r="BM154" s="161"/>
      <c r="BN154" s="161"/>
      <c r="BO154" s="161"/>
      <c r="BP154" s="161"/>
      <c r="BQ154" s="161"/>
      <c r="BR154" s="161"/>
      <c r="BS154" s="161"/>
      <c r="BT154" s="161"/>
      <c r="BU154" s="161"/>
      <c r="BV154" s="161"/>
      <c r="BW154" s="161"/>
      <c r="BX154" s="161"/>
      <c r="BY154" s="161"/>
      <c r="BZ154" s="161"/>
      <c r="CA154" s="161"/>
      <c r="CB154" s="161"/>
      <c r="CC154" s="161"/>
    </row>
    <row r="155" spans="1:81" ht="12" customHeight="1" x14ac:dyDescent="0.2">
      <c r="A155" s="161"/>
      <c r="B155" s="1428" t="s">
        <v>1058</v>
      </c>
      <c r="C155" s="1467">
        <v>37</v>
      </c>
      <c r="D155" s="663"/>
      <c r="E155" s="161">
        <v>118</v>
      </c>
      <c r="F155" s="161"/>
      <c r="G155" s="161">
        <v>0.3</v>
      </c>
      <c r="H155" s="161"/>
      <c r="I155" s="1425">
        <f t="shared" si="68"/>
        <v>478077</v>
      </c>
      <c r="J155" s="663"/>
      <c r="K155" s="1425">
        <f t="shared" si="69"/>
        <v>0.95615400000000006</v>
      </c>
      <c r="L155" s="1468"/>
      <c r="M155" s="1425" t="s">
        <v>708</v>
      </c>
      <c r="N155" s="161"/>
      <c r="O155" s="1492">
        <f t="shared" si="71"/>
        <v>478077</v>
      </c>
      <c r="P155" s="1490"/>
      <c r="Q155" s="1417" t="s">
        <v>708</v>
      </c>
      <c r="R155" s="1394"/>
      <c r="S155" s="1425" t="s">
        <v>708</v>
      </c>
      <c r="T155" s="1469"/>
      <c r="U155" s="1434">
        <f t="shared" si="72"/>
        <v>9.5615400000000008</v>
      </c>
      <c r="V155" s="161"/>
      <c r="W155" s="1491"/>
      <c r="X155" s="161"/>
      <c r="Y155" s="656"/>
      <c r="Z155" s="161"/>
      <c r="AA155" s="161"/>
      <c r="AB155" s="161"/>
      <c r="AC155" s="161"/>
      <c r="AD155" s="161"/>
      <c r="AE155" s="161"/>
      <c r="AF155" s="161"/>
      <c r="AG155" s="161"/>
      <c r="AH155" s="161"/>
      <c r="AI155" s="161"/>
      <c r="AJ155" s="161"/>
      <c r="AK155" s="161"/>
      <c r="AL155" s="161"/>
      <c r="AM155" s="161"/>
      <c r="AN155" s="161"/>
      <c r="AO155" s="161"/>
      <c r="AP155" s="161"/>
      <c r="AQ155" s="161"/>
      <c r="AR155" s="161"/>
      <c r="AS155" s="161"/>
      <c r="AT155" s="161"/>
      <c r="AU155" s="161"/>
      <c r="AV155" s="161"/>
      <c r="AW155" s="161"/>
      <c r="AX155" s="161"/>
      <c r="AY155" s="161"/>
      <c r="AZ155" s="161"/>
      <c r="BA155" s="161"/>
      <c r="BB155" s="161"/>
      <c r="BC155" s="161"/>
      <c r="BD155" s="161"/>
      <c r="BE155" s="161"/>
      <c r="BF155" s="161"/>
      <c r="BG155" s="161"/>
      <c r="BH155" s="161"/>
      <c r="BI155" s="161"/>
      <c r="BJ155" s="161"/>
      <c r="BK155" s="161"/>
      <c r="BL155" s="161"/>
      <c r="BM155" s="161"/>
      <c r="BN155" s="161"/>
      <c r="BO155" s="161"/>
      <c r="BP155" s="161"/>
      <c r="BQ155" s="161"/>
      <c r="BR155" s="161"/>
      <c r="BS155" s="161"/>
      <c r="BT155" s="161"/>
      <c r="BU155" s="161"/>
      <c r="BV155" s="161"/>
      <c r="BW155" s="161"/>
      <c r="BX155" s="161"/>
      <c r="BY155" s="161"/>
      <c r="BZ155" s="161"/>
      <c r="CA155" s="161"/>
      <c r="CB155" s="161"/>
      <c r="CC155" s="161"/>
    </row>
    <row r="156" spans="1:81" ht="13.5" customHeight="1" x14ac:dyDescent="0.25">
      <c r="A156" s="161"/>
      <c r="B156" s="1428" t="s">
        <v>1004</v>
      </c>
      <c r="C156" s="1467">
        <v>49</v>
      </c>
      <c r="D156" s="663"/>
      <c r="E156" s="161">
        <v>533</v>
      </c>
      <c r="F156" s="161"/>
      <c r="G156" s="161">
        <v>0.33</v>
      </c>
      <c r="H156" s="161"/>
      <c r="I156" s="1425">
        <f t="shared" si="68"/>
        <v>3145792.6500000004</v>
      </c>
      <c r="J156" s="663"/>
      <c r="K156" s="1425">
        <f t="shared" si="69"/>
        <v>6.2915853000000013</v>
      </c>
      <c r="L156" s="1468"/>
      <c r="M156" s="1425" t="s">
        <v>708</v>
      </c>
      <c r="N156" s="161"/>
      <c r="O156" s="1492">
        <f t="shared" si="71"/>
        <v>3145792.6500000004</v>
      </c>
      <c r="P156" s="1490"/>
      <c r="Q156" s="1417" t="s">
        <v>708</v>
      </c>
      <c r="R156" s="1394"/>
      <c r="S156" s="1425" t="s">
        <v>708</v>
      </c>
      <c r="T156" s="1469"/>
      <c r="U156" s="1434">
        <f t="shared" si="72"/>
        <v>62.915853000000013</v>
      </c>
      <c r="V156" s="161"/>
      <c r="W156" s="1489">
        <f>SUM(W151,W154)*0.0075</f>
        <v>192.42402594762163</v>
      </c>
      <c r="X156" s="656" t="s">
        <v>1498</v>
      </c>
      <c r="Y156" s="161"/>
      <c r="Z156" s="161"/>
      <c r="AA156" s="161"/>
      <c r="AB156" s="161"/>
      <c r="AC156" s="161"/>
      <c r="AD156" s="161"/>
      <c r="AE156" s="161"/>
      <c r="AF156" s="161"/>
      <c r="AG156" s="161"/>
      <c r="AH156" s="161"/>
      <c r="AI156" s="161"/>
      <c r="AJ156" s="161"/>
      <c r="AK156" s="161"/>
      <c r="AL156" s="161"/>
      <c r="AM156" s="161"/>
      <c r="AN156" s="161"/>
      <c r="AO156" s="161"/>
      <c r="AP156" s="161"/>
      <c r="AQ156" s="161"/>
      <c r="AR156" s="161"/>
      <c r="AS156" s="161"/>
      <c r="AT156" s="161"/>
      <c r="AU156" s="161"/>
      <c r="AV156" s="161"/>
      <c r="AW156" s="161"/>
      <c r="AX156" s="161"/>
      <c r="AY156" s="161"/>
      <c r="AZ156" s="161"/>
      <c r="BA156" s="161"/>
      <c r="BB156" s="161"/>
      <c r="BC156" s="161"/>
      <c r="BD156" s="161"/>
      <c r="BE156" s="161"/>
      <c r="BF156" s="161"/>
      <c r="BG156" s="161"/>
      <c r="BH156" s="161"/>
      <c r="BI156" s="161"/>
      <c r="BJ156" s="161"/>
      <c r="BK156" s="161"/>
      <c r="BL156" s="161"/>
      <c r="BM156" s="161"/>
      <c r="BN156" s="161"/>
      <c r="BO156" s="161"/>
      <c r="BP156" s="161"/>
      <c r="BQ156" s="161"/>
      <c r="BR156" s="161"/>
      <c r="BS156" s="161"/>
      <c r="BT156" s="161"/>
      <c r="BU156" s="161"/>
      <c r="BV156" s="161"/>
      <c r="BW156" s="161"/>
      <c r="BX156" s="161"/>
      <c r="BY156" s="161"/>
      <c r="BZ156" s="161"/>
      <c r="CA156" s="161"/>
      <c r="CB156" s="161"/>
      <c r="CC156" s="161"/>
    </row>
    <row r="157" spans="1:81" ht="11.25" customHeight="1" x14ac:dyDescent="0.2">
      <c r="A157" s="161"/>
      <c r="B157" s="1428" t="s">
        <v>1007</v>
      </c>
      <c r="C157" s="1467">
        <v>13</v>
      </c>
      <c r="D157" s="663"/>
      <c r="E157" s="161">
        <v>318</v>
      </c>
      <c r="F157" s="161"/>
      <c r="G157" s="161">
        <v>0.31</v>
      </c>
      <c r="H157" s="161"/>
      <c r="I157" s="1425">
        <f t="shared" si="68"/>
        <v>467762.1</v>
      </c>
      <c r="J157" s="663"/>
      <c r="K157" s="1425">
        <f t="shared" si="69"/>
        <v>0.93552419999999992</v>
      </c>
      <c r="L157" s="1468"/>
      <c r="M157" s="1425" t="s">
        <v>708</v>
      </c>
      <c r="N157" s="161"/>
      <c r="O157" s="1492">
        <f t="shared" si="71"/>
        <v>467762.1</v>
      </c>
      <c r="P157" s="1490"/>
      <c r="Q157" s="1417" t="s">
        <v>708</v>
      </c>
      <c r="R157" s="1394"/>
      <c r="S157" s="1425" t="s">
        <v>708</v>
      </c>
      <c r="T157" s="1469"/>
      <c r="U157" s="1434">
        <f t="shared" si="72"/>
        <v>9.3552420000000005</v>
      </c>
      <c r="V157" s="161"/>
      <c r="W157" s="1423"/>
      <c r="X157" s="161"/>
      <c r="Y157" s="161"/>
      <c r="Z157" s="161"/>
      <c r="AA157" s="161"/>
      <c r="AB157" s="161"/>
      <c r="AC157" s="161"/>
      <c r="AD157" s="161"/>
      <c r="AE157" s="161"/>
      <c r="AF157" s="161"/>
      <c r="AG157" s="161"/>
      <c r="AH157" s="161"/>
      <c r="AI157" s="161"/>
      <c r="AJ157" s="161"/>
      <c r="AK157" s="161"/>
      <c r="AL157" s="161"/>
      <c r="AM157" s="161"/>
      <c r="AN157" s="161"/>
      <c r="AO157" s="161"/>
      <c r="AP157" s="161"/>
      <c r="AQ157" s="161"/>
      <c r="AR157" s="161"/>
      <c r="AS157" s="161"/>
      <c r="AT157" s="161"/>
      <c r="AU157" s="161"/>
      <c r="AV157" s="161"/>
      <c r="AW157" s="161"/>
      <c r="AX157" s="161"/>
      <c r="AY157" s="161"/>
      <c r="AZ157" s="161"/>
      <c r="BA157" s="161"/>
      <c r="BB157" s="161"/>
      <c r="BC157" s="161"/>
      <c r="BD157" s="161"/>
      <c r="BE157" s="161"/>
      <c r="BF157" s="161"/>
      <c r="BG157" s="161"/>
      <c r="BH157" s="161"/>
      <c r="BI157" s="161"/>
      <c r="BJ157" s="161"/>
      <c r="BK157" s="161"/>
      <c r="BL157" s="161"/>
      <c r="BM157" s="161"/>
      <c r="BN157" s="161"/>
      <c r="BO157" s="161"/>
      <c r="BP157" s="161"/>
      <c r="BQ157" s="161"/>
      <c r="BR157" s="161"/>
      <c r="BS157" s="161"/>
      <c r="BT157" s="161"/>
      <c r="BU157" s="161"/>
      <c r="BV157" s="161"/>
      <c r="BW157" s="161"/>
      <c r="BX157" s="161"/>
      <c r="BY157" s="161"/>
      <c r="BZ157" s="161"/>
      <c r="CA157" s="161"/>
      <c r="CB157" s="161"/>
      <c r="CC157" s="161"/>
    </row>
    <row r="158" spans="1:81" ht="11.25" customHeight="1" x14ac:dyDescent="0.2">
      <c r="A158" s="161"/>
      <c r="B158" s="1428" t="s">
        <v>1500</v>
      </c>
      <c r="C158" s="1467">
        <v>23</v>
      </c>
      <c r="D158" s="663"/>
      <c r="E158" s="161">
        <v>420</v>
      </c>
      <c r="F158" s="161"/>
      <c r="G158" s="161">
        <v>0.31</v>
      </c>
      <c r="H158" s="161"/>
      <c r="I158" s="1425">
        <f t="shared" si="68"/>
        <v>1093029</v>
      </c>
      <c r="J158" s="663"/>
      <c r="K158" s="1425">
        <f t="shared" si="69"/>
        <v>2.1860580000000001</v>
      </c>
      <c r="L158" s="1468"/>
      <c r="M158" s="1425" t="s">
        <v>708</v>
      </c>
      <c r="N158" s="161"/>
      <c r="O158" s="1492">
        <f t="shared" si="71"/>
        <v>1093029</v>
      </c>
      <c r="P158" s="1490"/>
      <c r="Q158" s="1417" t="s">
        <v>708</v>
      </c>
      <c r="R158" s="1394"/>
      <c r="S158" s="1425" t="s">
        <v>708</v>
      </c>
      <c r="T158" s="1469"/>
      <c r="U158" s="1434">
        <f t="shared" si="72"/>
        <v>21.860580000000002</v>
      </c>
      <c r="V158" s="161"/>
      <c r="W158" s="1423"/>
      <c r="X158" s="161"/>
      <c r="Y158" s="161"/>
      <c r="Z158" s="161"/>
      <c r="AA158" s="161"/>
      <c r="AB158" s="161"/>
      <c r="AC158" s="161"/>
      <c r="AD158" s="161"/>
      <c r="AE158" s="161"/>
      <c r="AF158" s="161"/>
      <c r="AG158" s="161"/>
      <c r="AH158" s="161"/>
      <c r="AI158" s="161"/>
      <c r="AJ158" s="161"/>
      <c r="AK158" s="161"/>
      <c r="AL158" s="161"/>
      <c r="AM158" s="161"/>
      <c r="AN158" s="161"/>
      <c r="AO158" s="161"/>
      <c r="AP158" s="161"/>
      <c r="AQ158" s="161"/>
      <c r="AR158" s="161"/>
      <c r="AS158" s="161"/>
      <c r="AT158" s="161"/>
      <c r="AU158" s="161"/>
      <c r="AV158" s="161"/>
      <c r="AW158" s="161"/>
      <c r="AX158" s="161"/>
      <c r="AY158" s="161"/>
      <c r="AZ158" s="161"/>
      <c r="BA158" s="161"/>
      <c r="BB158" s="161"/>
      <c r="BC158" s="161"/>
      <c r="BD158" s="161"/>
      <c r="BE158" s="161"/>
      <c r="BF158" s="161"/>
      <c r="BG158" s="161"/>
      <c r="BH158" s="161"/>
      <c r="BI158" s="161"/>
      <c r="BJ158" s="161"/>
      <c r="BK158" s="161"/>
      <c r="BL158" s="161"/>
      <c r="BM158" s="161"/>
      <c r="BN158" s="161"/>
      <c r="BO158" s="161"/>
      <c r="BP158" s="161"/>
      <c r="BQ158" s="161"/>
      <c r="BR158" s="161"/>
      <c r="BS158" s="161"/>
      <c r="BT158" s="161"/>
      <c r="BU158" s="161"/>
      <c r="BV158" s="161"/>
      <c r="BW158" s="161"/>
      <c r="BX158" s="161"/>
      <c r="BY158" s="161"/>
      <c r="BZ158" s="161"/>
      <c r="CA158" s="161"/>
      <c r="CB158" s="161"/>
      <c r="CC158" s="161"/>
    </row>
    <row r="159" spans="1:81" ht="11.25" customHeight="1" x14ac:dyDescent="0.2">
      <c r="A159" s="161"/>
      <c r="B159" s="656" t="s">
        <v>1013</v>
      </c>
      <c r="C159" s="1487"/>
      <c r="D159" s="663"/>
      <c r="E159" s="161"/>
      <c r="F159" s="161"/>
      <c r="G159" s="161"/>
      <c r="H159" s="161"/>
      <c r="I159" s="1488"/>
      <c r="J159" s="663"/>
      <c r="K159" s="1488"/>
      <c r="L159" s="161"/>
      <c r="M159" s="161"/>
      <c r="N159" s="161"/>
      <c r="O159" s="161"/>
      <c r="P159" s="161"/>
      <c r="Q159" s="161"/>
      <c r="R159" s="1394"/>
      <c r="S159" s="663"/>
      <c r="T159" s="161"/>
      <c r="U159" s="161"/>
      <c r="V159" s="161"/>
      <c r="W159" s="1423"/>
      <c r="X159" s="161"/>
      <c r="Y159" s="161"/>
      <c r="Z159" s="161"/>
      <c r="AA159" s="161"/>
      <c r="AB159" s="161"/>
      <c r="AC159" s="161"/>
      <c r="AD159" s="161"/>
      <c r="AE159" s="161"/>
      <c r="AF159" s="161"/>
      <c r="AG159" s="161"/>
      <c r="AH159" s="161"/>
      <c r="AI159" s="161"/>
      <c r="AJ159" s="161"/>
      <c r="AK159" s="161"/>
      <c r="AL159" s="161"/>
      <c r="AM159" s="161"/>
      <c r="AN159" s="161"/>
      <c r="AO159" s="161"/>
      <c r="AP159" s="161"/>
      <c r="AQ159" s="161"/>
      <c r="AR159" s="161"/>
      <c r="AS159" s="161"/>
      <c r="AT159" s="161"/>
      <c r="AU159" s="161"/>
      <c r="AV159" s="161"/>
      <c r="AW159" s="161"/>
      <c r="AX159" s="161"/>
      <c r="AY159" s="161"/>
      <c r="AZ159" s="161"/>
      <c r="BA159" s="161"/>
      <c r="BB159" s="161"/>
      <c r="BC159" s="161"/>
      <c r="BD159" s="161"/>
      <c r="BE159" s="161"/>
      <c r="BF159" s="161"/>
      <c r="BG159" s="161"/>
      <c r="BH159" s="161"/>
      <c r="BI159" s="161"/>
      <c r="BJ159" s="161"/>
      <c r="BK159" s="161"/>
      <c r="BL159" s="161"/>
      <c r="BM159" s="161"/>
      <c r="BN159" s="161"/>
      <c r="BO159" s="161"/>
      <c r="BP159" s="161"/>
      <c r="BQ159" s="161"/>
      <c r="BR159" s="161"/>
      <c r="BS159" s="161"/>
      <c r="BT159" s="161"/>
      <c r="BU159" s="161"/>
      <c r="BV159" s="161"/>
      <c r="BW159" s="161"/>
      <c r="BX159" s="161"/>
      <c r="BY159" s="161"/>
      <c r="BZ159" s="161"/>
      <c r="CA159" s="161"/>
      <c r="CB159" s="161"/>
      <c r="CC159" s="161"/>
    </row>
    <row r="160" spans="1:81" ht="11.25" customHeight="1" x14ac:dyDescent="0.2">
      <c r="A160" s="161"/>
      <c r="B160" s="1428" t="s">
        <v>1063</v>
      </c>
      <c r="C160" s="1467">
        <v>6</v>
      </c>
      <c r="D160" s="663"/>
      <c r="E160" s="161">
        <v>198</v>
      </c>
      <c r="F160" s="161"/>
      <c r="G160" s="161">
        <v>0.23499999999999999</v>
      </c>
      <c r="H160" s="161"/>
      <c r="I160" s="1425">
        <f t="shared" ref="I160:I164" si="73">C160*E160*G160*365</f>
        <v>101900.7</v>
      </c>
      <c r="J160" s="663"/>
      <c r="K160" s="1425">
        <f t="shared" ref="K160:K164" si="74">(I160*0.2*0.01)/1000</f>
        <v>0.20380139999999999</v>
      </c>
      <c r="L160" s="1468"/>
      <c r="M160" s="1434">
        <f>C160*(BC149+BD149+BE149+BF149)*E160*G160*365</f>
        <v>80358.199706644213</v>
      </c>
      <c r="N160" s="161"/>
      <c r="O160" s="1434">
        <f t="shared" ref="O160:O164" si="75">C160*(BB$149)*E160*G160*365</f>
        <v>21542.500293355803</v>
      </c>
      <c r="P160" s="161"/>
      <c r="Q160" s="1417" t="s">
        <v>708</v>
      </c>
      <c r="R160" s="1394"/>
      <c r="S160" s="1420">
        <f t="shared" ref="S160:S164" si="76">((M160)*(1-0.2)*0.0125)/1000</f>
        <v>0.80358199706644218</v>
      </c>
      <c r="T160" s="1469"/>
      <c r="U160" s="1434">
        <f t="shared" ref="U160:U164" si="77">(O160*0.02)/1000</f>
        <v>0.43085000586711608</v>
      </c>
      <c r="V160" s="1428"/>
      <c r="W160" s="1423"/>
      <c r="X160" s="161"/>
      <c r="Y160" s="161"/>
      <c r="Z160" s="161"/>
      <c r="AA160" s="161"/>
      <c r="AB160" s="161"/>
      <c r="AC160" s="161"/>
      <c r="AD160" s="161"/>
      <c r="AE160" s="161"/>
      <c r="AF160" s="161"/>
      <c r="AG160" s="161"/>
      <c r="AH160" s="161"/>
      <c r="AI160" s="161"/>
      <c r="AJ160" s="161"/>
      <c r="AK160" s="161"/>
      <c r="AL160" s="161"/>
      <c r="AM160" s="161"/>
      <c r="AN160" s="161"/>
      <c r="AO160" s="161"/>
      <c r="AP160" s="161"/>
      <c r="AQ160" s="161"/>
      <c r="AR160" s="161"/>
      <c r="AS160" s="161"/>
      <c r="AT160" s="161"/>
      <c r="AU160" s="161"/>
      <c r="AV160" s="161"/>
      <c r="AW160" s="161"/>
      <c r="AX160" s="161"/>
      <c r="AY160" s="161"/>
      <c r="AZ160" s="161"/>
      <c r="BA160" s="161"/>
      <c r="BB160" s="161"/>
      <c r="BC160" s="161"/>
      <c r="BD160" s="161"/>
      <c r="BE160" s="161"/>
      <c r="BF160" s="161"/>
      <c r="BG160" s="161"/>
      <c r="BH160" s="161"/>
      <c r="BI160" s="161"/>
      <c r="BJ160" s="161"/>
      <c r="BK160" s="161"/>
      <c r="BL160" s="161"/>
      <c r="BM160" s="161"/>
      <c r="BN160" s="161"/>
      <c r="BO160" s="161"/>
      <c r="BP160" s="161"/>
      <c r="BQ160" s="161"/>
      <c r="BR160" s="161"/>
      <c r="BS160" s="161"/>
      <c r="BT160" s="161"/>
      <c r="BU160" s="161"/>
      <c r="BV160" s="161"/>
      <c r="BW160" s="161"/>
      <c r="BX160" s="161"/>
      <c r="BY160" s="161"/>
      <c r="BZ160" s="161"/>
      <c r="CA160" s="161"/>
      <c r="CB160" s="161"/>
      <c r="CC160" s="161"/>
    </row>
    <row r="161" spans="1:81" ht="11.25" customHeight="1" x14ac:dyDescent="0.2">
      <c r="A161" s="161"/>
      <c r="B161" s="1428" t="s">
        <v>1064</v>
      </c>
      <c r="C161" s="1467">
        <v>10</v>
      </c>
      <c r="D161" s="663"/>
      <c r="E161" s="161">
        <v>15.88</v>
      </c>
      <c r="F161" s="161"/>
      <c r="G161" s="161">
        <v>0.6</v>
      </c>
      <c r="H161" s="161"/>
      <c r="I161" s="1425">
        <f t="shared" si="73"/>
        <v>34777.199999999997</v>
      </c>
      <c r="J161" s="663"/>
      <c r="K161" s="1425">
        <f t="shared" si="74"/>
        <v>6.9554400000000002E-2</v>
      </c>
      <c r="L161" s="1468"/>
      <c r="M161" s="1434">
        <f>C161*(BC149+BD149+BE149+BF149)*E161*G161*365</f>
        <v>27425.063643703201</v>
      </c>
      <c r="N161" s="161"/>
      <c r="O161" s="1434">
        <f t="shared" si="75"/>
        <v>7352.1363562968008</v>
      </c>
      <c r="P161" s="161"/>
      <c r="Q161" s="1417" t="s">
        <v>708</v>
      </c>
      <c r="R161" s="1394"/>
      <c r="S161" s="1420">
        <f t="shared" si="76"/>
        <v>0.27425063643703201</v>
      </c>
      <c r="T161" s="1469"/>
      <c r="U161" s="1434">
        <f t="shared" si="77"/>
        <v>0.14704272712593602</v>
      </c>
      <c r="V161" s="652"/>
      <c r="W161" s="1423"/>
      <c r="X161" s="161"/>
      <c r="Y161" s="161"/>
      <c r="Z161" s="161"/>
      <c r="AA161" s="161"/>
      <c r="AB161" s="161"/>
      <c r="AC161" s="161"/>
      <c r="AD161" s="161"/>
      <c r="AE161" s="161"/>
      <c r="AF161" s="161"/>
      <c r="AG161" s="161"/>
      <c r="AH161" s="161"/>
      <c r="AI161" s="161"/>
      <c r="AJ161" s="161"/>
      <c r="AK161" s="161"/>
      <c r="AL161" s="161"/>
      <c r="AM161" s="161"/>
      <c r="AN161" s="161"/>
      <c r="AO161" s="161"/>
      <c r="AP161" s="161"/>
      <c r="AQ161" s="161"/>
      <c r="AR161" s="161"/>
      <c r="AS161" s="161"/>
      <c r="AT161" s="161"/>
      <c r="AU161" s="161"/>
      <c r="AV161" s="161"/>
      <c r="AW161" s="161"/>
      <c r="AX161" s="161"/>
      <c r="AY161" s="161"/>
      <c r="AZ161" s="161"/>
      <c r="BA161" s="161"/>
      <c r="BB161" s="161"/>
      <c r="BC161" s="161"/>
      <c r="BD161" s="161"/>
      <c r="BE161" s="161"/>
      <c r="BF161" s="161"/>
      <c r="BG161" s="161"/>
      <c r="BH161" s="161"/>
      <c r="BI161" s="161"/>
      <c r="BJ161" s="161"/>
      <c r="BK161" s="161"/>
      <c r="BL161" s="161"/>
      <c r="BM161" s="161"/>
      <c r="BN161" s="161"/>
      <c r="BO161" s="161"/>
      <c r="BP161" s="161"/>
      <c r="BQ161" s="161"/>
      <c r="BR161" s="161"/>
      <c r="BS161" s="161"/>
      <c r="BT161" s="161"/>
      <c r="BU161" s="161"/>
      <c r="BV161" s="161"/>
      <c r="BW161" s="161"/>
      <c r="BX161" s="161"/>
      <c r="BY161" s="161"/>
      <c r="BZ161" s="161"/>
      <c r="CA161" s="161"/>
      <c r="CB161" s="161"/>
      <c r="CC161" s="161"/>
    </row>
    <row r="162" spans="1:81" ht="11.25" customHeight="1" x14ac:dyDescent="0.2">
      <c r="A162" s="161"/>
      <c r="B162" s="1428" t="s">
        <v>1065</v>
      </c>
      <c r="C162" s="1467">
        <v>6</v>
      </c>
      <c r="D162" s="663"/>
      <c r="E162" s="161">
        <v>40.6</v>
      </c>
      <c r="F162" s="161"/>
      <c r="G162" s="161">
        <v>0.42</v>
      </c>
      <c r="H162" s="161"/>
      <c r="I162" s="1425">
        <f t="shared" si="73"/>
        <v>37343.880000000005</v>
      </c>
      <c r="J162" s="663"/>
      <c r="K162" s="1425">
        <f t="shared" si="74"/>
        <v>7.4687760000000006E-2</v>
      </c>
      <c r="L162" s="1468"/>
      <c r="M162" s="1434">
        <f>C162*(BC149+BD149+BE149+BF149)*E162*G162*365</f>
        <v>29449.130053679284</v>
      </c>
      <c r="N162" s="161"/>
      <c r="O162" s="1434">
        <f t="shared" si="75"/>
        <v>7894.7499463207205</v>
      </c>
      <c r="P162" s="161"/>
      <c r="Q162" s="1417" t="s">
        <v>708</v>
      </c>
      <c r="R162" s="1394"/>
      <c r="S162" s="1420">
        <f t="shared" si="76"/>
        <v>0.2944913005367929</v>
      </c>
      <c r="T162" s="1469"/>
      <c r="U162" s="1434">
        <f t="shared" si="77"/>
        <v>0.15789499892641443</v>
      </c>
      <c r="V162" s="1428"/>
      <c r="W162" s="1423"/>
      <c r="X162" s="161"/>
      <c r="Y162" s="161"/>
      <c r="Z162" s="161"/>
      <c r="AA162" s="161"/>
      <c r="AB162" s="161"/>
      <c r="AC162" s="161"/>
      <c r="AD162" s="161"/>
      <c r="AE162" s="161"/>
      <c r="AF162" s="161"/>
      <c r="AG162" s="161"/>
      <c r="AH162" s="161"/>
      <c r="AI162" s="161"/>
      <c r="AJ162" s="161"/>
      <c r="AK162" s="161"/>
      <c r="AL162" s="161"/>
      <c r="AM162" s="161"/>
      <c r="AN162" s="161"/>
      <c r="AO162" s="161"/>
      <c r="AP162" s="161"/>
      <c r="AQ162" s="161"/>
      <c r="AR162" s="161"/>
      <c r="AS162" s="161"/>
      <c r="AT162" s="161"/>
      <c r="AU162" s="161"/>
      <c r="AV162" s="161"/>
      <c r="AW162" s="161"/>
      <c r="AX162" s="161"/>
      <c r="AY162" s="161"/>
      <c r="AZ162" s="161"/>
      <c r="BA162" s="161"/>
      <c r="BB162" s="161"/>
      <c r="BC162" s="161"/>
      <c r="BD162" s="161"/>
      <c r="BE162" s="161"/>
      <c r="BF162" s="161"/>
      <c r="BG162" s="161"/>
      <c r="BH162" s="161"/>
      <c r="BI162" s="161"/>
      <c r="BJ162" s="161"/>
      <c r="BK162" s="161"/>
      <c r="BL162" s="161"/>
      <c r="BM162" s="161"/>
      <c r="BN162" s="161"/>
      <c r="BO162" s="161"/>
      <c r="BP162" s="161"/>
      <c r="BQ162" s="161"/>
      <c r="BR162" s="161"/>
      <c r="BS162" s="161"/>
      <c r="BT162" s="161"/>
      <c r="BU162" s="161"/>
      <c r="BV162" s="161"/>
      <c r="BW162" s="161"/>
      <c r="BX162" s="161"/>
      <c r="BY162" s="161"/>
      <c r="BZ162" s="161"/>
      <c r="CA162" s="161"/>
      <c r="CB162" s="161"/>
      <c r="CC162" s="161"/>
    </row>
    <row r="163" spans="1:81" ht="11.25" customHeight="1" x14ac:dyDescent="0.2">
      <c r="A163" s="161"/>
      <c r="B163" s="1428" t="s">
        <v>1067</v>
      </c>
      <c r="C163" s="1467">
        <v>7</v>
      </c>
      <c r="D163" s="663"/>
      <c r="E163" s="161">
        <v>67.819999999999993</v>
      </c>
      <c r="F163" s="161"/>
      <c r="G163" s="161">
        <v>0.42</v>
      </c>
      <c r="H163" s="161"/>
      <c r="I163" s="1425">
        <f t="shared" si="73"/>
        <v>72777.641999999993</v>
      </c>
      <c r="J163" s="663"/>
      <c r="K163" s="1425">
        <f t="shared" si="74"/>
        <v>0.14555528400000001</v>
      </c>
      <c r="L163" s="1468"/>
      <c r="M163" s="1434">
        <f>C163*(BC149+BD149+BE149+BF149)*E163*G163*365</f>
        <v>57391.954029900247</v>
      </c>
      <c r="N163" s="161"/>
      <c r="O163" s="1434">
        <f t="shared" si="75"/>
        <v>15385.687970099749</v>
      </c>
      <c r="P163" s="161"/>
      <c r="Q163" s="1417" t="s">
        <v>708</v>
      </c>
      <c r="R163" s="1394"/>
      <c r="S163" s="1420">
        <f t="shared" si="76"/>
        <v>0.5739195402990025</v>
      </c>
      <c r="T163" s="1469"/>
      <c r="U163" s="1434">
        <f t="shared" si="77"/>
        <v>0.30771375940199497</v>
      </c>
      <c r="V163" s="161"/>
      <c r="W163" s="1423"/>
      <c r="X163" s="161"/>
      <c r="Y163" s="161"/>
      <c r="Z163" s="161"/>
      <c r="AA163" s="161"/>
      <c r="AB163" s="161"/>
      <c r="AC163" s="161"/>
      <c r="AD163" s="161"/>
      <c r="AE163" s="161"/>
      <c r="AF163" s="161"/>
      <c r="AG163" s="161"/>
      <c r="AH163" s="161"/>
      <c r="AI163" s="161"/>
      <c r="AJ163" s="161"/>
      <c r="AK163" s="161"/>
      <c r="AL163" s="161"/>
      <c r="AM163" s="161"/>
      <c r="AN163" s="161"/>
      <c r="AO163" s="161"/>
      <c r="AP163" s="161"/>
      <c r="AQ163" s="161"/>
      <c r="AR163" s="161"/>
      <c r="AS163" s="161"/>
      <c r="AT163" s="161"/>
      <c r="AU163" s="161"/>
      <c r="AV163" s="161"/>
      <c r="AW163" s="161"/>
      <c r="AX163" s="161"/>
      <c r="AY163" s="161"/>
      <c r="AZ163" s="161"/>
      <c r="BA163" s="161"/>
      <c r="BB163" s="161"/>
      <c r="BC163" s="161"/>
      <c r="BD163" s="161"/>
      <c r="BE163" s="161"/>
      <c r="BF163" s="161"/>
      <c r="BG163" s="161"/>
      <c r="BH163" s="161"/>
      <c r="BI163" s="161"/>
      <c r="BJ163" s="161"/>
      <c r="BK163" s="161"/>
      <c r="BL163" s="161"/>
      <c r="BM163" s="161"/>
      <c r="BN163" s="161"/>
      <c r="BO163" s="161"/>
      <c r="BP163" s="161"/>
      <c r="BQ163" s="161"/>
      <c r="BR163" s="161"/>
      <c r="BS163" s="161"/>
      <c r="BT163" s="161"/>
      <c r="BU163" s="161"/>
      <c r="BV163" s="161"/>
      <c r="BW163" s="161"/>
      <c r="BX163" s="161"/>
      <c r="BY163" s="161"/>
      <c r="BZ163" s="161"/>
      <c r="CA163" s="161"/>
      <c r="CB163" s="161"/>
      <c r="CC163" s="161"/>
    </row>
    <row r="164" spans="1:81" ht="11.25" customHeight="1" x14ac:dyDescent="0.2">
      <c r="A164" s="161"/>
      <c r="B164" s="1428" t="s">
        <v>1069</v>
      </c>
      <c r="C164" s="1467">
        <v>4</v>
      </c>
      <c r="D164" s="663"/>
      <c r="E164" s="161">
        <v>90.75</v>
      </c>
      <c r="F164" s="161"/>
      <c r="G164" s="161">
        <v>0.42</v>
      </c>
      <c r="H164" s="161"/>
      <c r="I164" s="1425">
        <f t="shared" si="73"/>
        <v>55647.9</v>
      </c>
      <c r="J164" s="663"/>
      <c r="K164" s="1425">
        <f t="shared" si="74"/>
        <v>0.11129580000000001</v>
      </c>
      <c r="L164" s="1468"/>
      <c r="M164" s="1434">
        <f>C164*(BC149+BD149+BE149+BF149)*E164*G164*365</f>
        <v>43883.555868167401</v>
      </c>
      <c r="N164" s="161"/>
      <c r="O164" s="1434">
        <f t="shared" si="75"/>
        <v>11764.3441318326</v>
      </c>
      <c r="P164" s="161"/>
      <c r="Q164" s="1417" t="s">
        <v>708</v>
      </c>
      <c r="R164" s="1394"/>
      <c r="S164" s="1420">
        <f t="shared" si="76"/>
        <v>0.43883555868167406</v>
      </c>
      <c r="T164" s="1469"/>
      <c r="U164" s="1434">
        <f t="shared" si="77"/>
        <v>0.23528688263665201</v>
      </c>
      <c r="V164" s="161"/>
      <c r="W164" s="1423"/>
      <c r="X164" s="161"/>
      <c r="Y164" s="161"/>
      <c r="Z164" s="161"/>
      <c r="AA164" s="161"/>
      <c r="AB164" s="161"/>
      <c r="AC164" s="161"/>
      <c r="AD164" s="161"/>
      <c r="AE164" s="161"/>
      <c r="AF164" s="161"/>
      <c r="AG164" s="161"/>
      <c r="AH164" s="161"/>
      <c r="AI164" s="161"/>
      <c r="AJ164" s="161"/>
      <c r="AK164" s="161"/>
      <c r="AL164" s="161"/>
      <c r="AM164" s="161"/>
      <c r="AN164" s="161"/>
      <c r="AO164" s="161"/>
      <c r="AP164" s="161"/>
      <c r="AQ164" s="161"/>
      <c r="AR164" s="161"/>
      <c r="AS164" s="161"/>
      <c r="AT164" s="161"/>
      <c r="AU164" s="161"/>
      <c r="AV164" s="161"/>
      <c r="AW164" s="161"/>
      <c r="AX164" s="161"/>
      <c r="AY164" s="161"/>
      <c r="AZ164" s="161"/>
      <c r="BA164" s="161"/>
      <c r="BB164" s="161"/>
      <c r="BC164" s="161"/>
      <c r="BD164" s="161"/>
      <c r="BE164" s="161"/>
      <c r="BF164" s="161"/>
      <c r="BG164" s="161"/>
      <c r="BH164" s="161"/>
      <c r="BI164" s="161"/>
      <c r="BJ164" s="161"/>
      <c r="BK164" s="161"/>
      <c r="BL164" s="161"/>
      <c r="BM164" s="161"/>
      <c r="BN164" s="161"/>
      <c r="BO164" s="161"/>
      <c r="BP164" s="161"/>
      <c r="BQ164" s="161"/>
      <c r="BR164" s="161"/>
      <c r="BS164" s="161"/>
      <c r="BT164" s="161"/>
      <c r="BU164" s="161"/>
      <c r="BV164" s="161"/>
      <c r="BW164" s="161"/>
      <c r="BX164" s="161"/>
      <c r="BY164" s="161"/>
      <c r="BZ164" s="161"/>
      <c r="CA164" s="161"/>
      <c r="CB164" s="161"/>
      <c r="CC164" s="161"/>
    </row>
    <row r="165" spans="1:81" ht="11.25" customHeight="1" x14ac:dyDescent="0.2">
      <c r="A165" s="161"/>
      <c r="B165" s="656" t="s">
        <v>1072</v>
      </c>
      <c r="C165" s="1487"/>
      <c r="D165" s="663"/>
      <c r="E165" s="161"/>
      <c r="F165" s="161"/>
      <c r="G165" s="161"/>
      <c r="H165" s="161"/>
      <c r="I165" s="1493"/>
      <c r="J165" s="663"/>
      <c r="K165" s="1493"/>
      <c r="L165" s="161"/>
      <c r="M165" s="161"/>
      <c r="N165" s="161"/>
      <c r="O165" s="161"/>
      <c r="P165" s="161"/>
      <c r="Q165" s="161"/>
      <c r="R165" s="1394"/>
      <c r="S165" s="1421"/>
      <c r="T165" s="161"/>
      <c r="U165" s="161"/>
      <c r="V165" s="161"/>
      <c r="W165" s="1394"/>
      <c r="X165" s="161"/>
      <c r="Y165" s="161"/>
      <c r="Z165" s="161"/>
      <c r="AA165" s="161"/>
      <c r="AB165" s="161"/>
      <c r="AC165" s="161"/>
      <c r="AD165" s="161"/>
      <c r="AE165" s="161"/>
      <c r="AF165" s="161"/>
      <c r="AG165" s="161"/>
      <c r="AH165" s="161"/>
      <c r="AI165" s="161"/>
      <c r="AJ165" s="161"/>
      <c r="AK165" s="161"/>
      <c r="AL165" s="161"/>
      <c r="AM165" s="161"/>
      <c r="AN165" s="161"/>
      <c r="AO165" s="161"/>
      <c r="AP165" s="161"/>
      <c r="AQ165" s="161"/>
      <c r="AR165" s="161"/>
      <c r="AS165" s="161"/>
      <c r="AT165" s="161"/>
      <c r="AU165" s="161"/>
      <c r="AV165" s="161"/>
      <c r="AW165" s="161"/>
      <c r="AX165" s="161"/>
      <c r="AY165" s="161"/>
      <c r="AZ165" s="161"/>
      <c r="BA165" s="161"/>
      <c r="BB165" s="161"/>
      <c r="BC165" s="161"/>
      <c r="BD165" s="161"/>
      <c r="BE165" s="161"/>
      <c r="BF165" s="161"/>
      <c r="BG165" s="161"/>
      <c r="BH165" s="161"/>
      <c r="BI165" s="161"/>
      <c r="BJ165" s="161"/>
      <c r="BK165" s="161"/>
      <c r="BL165" s="161"/>
      <c r="BM165" s="161"/>
      <c r="BN165" s="161"/>
      <c r="BO165" s="161"/>
      <c r="BP165" s="161"/>
      <c r="BQ165" s="161"/>
      <c r="BR165" s="161"/>
      <c r="BS165" s="161"/>
      <c r="BT165" s="161"/>
      <c r="BU165" s="161"/>
      <c r="BV165" s="161"/>
      <c r="BW165" s="161"/>
      <c r="BX165" s="161"/>
      <c r="BY165" s="161"/>
      <c r="BZ165" s="161"/>
      <c r="CA165" s="161"/>
      <c r="CB165" s="161"/>
      <c r="CC165" s="161"/>
    </row>
    <row r="166" spans="1:81" ht="11.25" customHeight="1" x14ac:dyDescent="0.2">
      <c r="A166" s="161"/>
      <c r="B166" s="1428" t="s">
        <v>1076</v>
      </c>
      <c r="C166" s="1494"/>
      <c r="D166" s="663"/>
      <c r="E166" s="161"/>
      <c r="F166" s="161"/>
      <c r="G166" s="161"/>
      <c r="H166" s="161"/>
      <c r="I166" s="1495"/>
      <c r="J166" s="663"/>
      <c r="K166" s="1495"/>
      <c r="L166" s="161"/>
      <c r="M166" s="161"/>
      <c r="N166" s="161"/>
      <c r="O166" s="161"/>
      <c r="P166" s="161"/>
      <c r="Q166" s="161"/>
      <c r="R166" s="1394"/>
      <c r="S166" s="1421"/>
      <c r="T166" s="161"/>
      <c r="U166" s="161"/>
      <c r="V166" s="652"/>
      <c r="W166" s="1423"/>
      <c r="X166" s="161"/>
      <c r="Y166" s="161"/>
      <c r="Z166" s="161"/>
      <c r="AA166" s="161"/>
      <c r="AB166" s="161"/>
      <c r="AC166" s="161"/>
      <c r="AD166" s="161"/>
      <c r="AE166" s="161"/>
      <c r="AF166" s="161"/>
      <c r="AG166" s="161"/>
      <c r="AH166" s="161"/>
      <c r="AI166" s="161"/>
      <c r="AJ166" s="161"/>
      <c r="AK166" s="161"/>
      <c r="AL166" s="161"/>
      <c r="AM166" s="161"/>
      <c r="AN166" s="161"/>
      <c r="AO166" s="161"/>
      <c r="AP166" s="161"/>
      <c r="AQ166" s="161"/>
      <c r="AR166" s="161"/>
      <c r="AS166" s="161"/>
      <c r="AT166" s="161"/>
      <c r="AU166" s="161"/>
      <c r="AV166" s="161"/>
      <c r="AW166" s="161"/>
      <c r="AX166" s="161"/>
      <c r="AY166" s="161"/>
      <c r="AZ166" s="161"/>
      <c r="BA166" s="161"/>
      <c r="BB166" s="161"/>
      <c r="BC166" s="161"/>
      <c r="BD166" s="161"/>
      <c r="BE166" s="161"/>
      <c r="BF166" s="161"/>
      <c r="BG166" s="161"/>
      <c r="BH166" s="161"/>
      <c r="BI166" s="161"/>
      <c r="BJ166" s="161"/>
      <c r="BK166" s="161"/>
      <c r="BL166" s="161"/>
      <c r="BM166" s="161"/>
      <c r="BN166" s="161"/>
      <c r="BO166" s="161"/>
      <c r="BP166" s="161"/>
      <c r="BQ166" s="161"/>
      <c r="BR166" s="161"/>
      <c r="BS166" s="161"/>
      <c r="BT166" s="161"/>
      <c r="BU166" s="161"/>
      <c r="BV166" s="161"/>
      <c r="BW166" s="161"/>
      <c r="BX166" s="161"/>
      <c r="BY166" s="161"/>
      <c r="BZ166" s="161"/>
      <c r="CA166" s="161"/>
      <c r="CB166" s="161"/>
      <c r="CC166" s="161"/>
    </row>
    <row r="167" spans="1:81" ht="11.25" customHeight="1" x14ac:dyDescent="0.2">
      <c r="A167" s="161"/>
      <c r="B167" s="1428" t="s">
        <v>1098</v>
      </c>
      <c r="C167" s="1467">
        <v>2560</v>
      </c>
      <c r="D167" s="663"/>
      <c r="E167" s="161">
        <v>1.8</v>
      </c>
      <c r="F167" s="161"/>
      <c r="G167" s="161">
        <v>0.83</v>
      </c>
      <c r="H167" s="161"/>
      <c r="I167" s="1425">
        <f t="shared" ref="I167:I171" si="78">C167*E167*G167*365</f>
        <v>1395993.5999999999</v>
      </c>
      <c r="J167" s="663"/>
      <c r="K167" s="1425">
        <f t="shared" ref="K167:K171" si="79">(I167*0.2*0.01)/1000</f>
        <v>2.7919871999999994</v>
      </c>
      <c r="L167" s="1468"/>
      <c r="M167" s="1434">
        <f t="shared" ref="M167:M171" si="80">C167*(BI$149+BJ$149+BK$149+BL$149)*E167*G167*365</f>
        <v>1395993.5999999999</v>
      </c>
      <c r="N167" s="161"/>
      <c r="O167" s="1417" t="s">
        <v>708</v>
      </c>
      <c r="P167" s="161"/>
      <c r="Q167" s="1417" t="s">
        <v>708</v>
      </c>
      <c r="R167" s="1394"/>
      <c r="S167" s="1420">
        <f t="shared" ref="S167:S168" si="81">((M167)*(1-0.042)*(1-0.2)*0.0125)/1000</f>
        <v>13.373618688000001</v>
      </c>
      <c r="T167" s="1469"/>
      <c r="U167" s="1417" t="s">
        <v>708</v>
      </c>
      <c r="V167" s="652"/>
      <c r="W167" s="1423"/>
      <c r="X167" s="161"/>
      <c r="Y167" s="161"/>
      <c r="Z167" s="161"/>
      <c r="AA167" s="161"/>
      <c r="AB167" s="161"/>
      <c r="AC167" s="161"/>
      <c r="AD167" s="161"/>
      <c r="AE167" s="161"/>
      <c r="AF167" s="161"/>
      <c r="AG167" s="161"/>
      <c r="AH167" s="161"/>
      <c r="AI167" s="161"/>
      <c r="AJ167" s="161"/>
      <c r="AK167" s="161"/>
      <c r="AL167" s="161"/>
      <c r="AM167" s="161"/>
      <c r="AN167" s="161"/>
      <c r="AO167" s="161"/>
      <c r="AP167" s="161"/>
      <c r="AQ167" s="161"/>
      <c r="AR167" s="161"/>
      <c r="AS167" s="161"/>
      <c r="AT167" s="161"/>
      <c r="AU167" s="161"/>
      <c r="AV167" s="161"/>
      <c r="AW167" s="161"/>
      <c r="AX167" s="161"/>
      <c r="AY167" s="161"/>
      <c r="AZ167" s="161"/>
      <c r="BA167" s="161"/>
      <c r="BB167" s="161"/>
      <c r="BC167" s="161"/>
      <c r="BD167" s="161"/>
      <c r="BE167" s="161"/>
      <c r="BF167" s="161"/>
      <c r="BG167" s="161"/>
      <c r="BH167" s="161"/>
      <c r="BI167" s="161"/>
      <c r="BJ167" s="161"/>
      <c r="BK167" s="161"/>
      <c r="BL167" s="161"/>
      <c r="BM167" s="161"/>
      <c r="BN167" s="161"/>
      <c r="BO167" s="161"/>
      <c r="BP167" s="161"/>
      <c r="BQ167" s="161"/>
      <c r="BR167" s="161"/>
      <c r="BS167" s="161"/>
      <c r="BT167" s="161"/>
      <c r="BU167" s="161"/>
      <c r="BV167" s="161"/>
      <c r="BW167" s="161"/>
      <c r="BX167" s="161"/>
      <c r="BY167" s="161"/>
      <c r="BZ167" s="161"/>
      <c r="CA167" s="161"/>
      <c r="CB167" s="161"/>
      <c r="CC167" s="161"/>
    </row>
    <row r="168" spans="1:81" ht="11.25" customHeight="1" x14ac:dyDescent="0.2">
      <c r="A168" s="161"/>
      <c r="B168" s="1428" t="s">
        <v>1100</v>
      </c>
      <c r="C168" s="1467">
        <v>938</v>
      </c>
      <c r="D168" s="663"/>
      <c r="E168" s="161">
        <v>1.8</v>
      </c>
      <c r="F168" s="161"/>
      <c r="G168" s="161">
        <v>0.62</v>
      </c>
      <c r="H168" s="161"/>
      <c r="I168" s="1425">
        <f t="shared" si="78"/>
        <v>382084.92</v>
      </c>
      <c r="J168" s="663"/>
      <c r="K168" s="1425">
        <f t="shared" si="79"/>
        <v>0.76416983999999999</v>
      </c>
      <c r="L168" s="1468"/>
      <c r="M168" s="1434">
        <f t="shared" si="80"/>
        <v>382084.92</v>
      </c>
      <c r="N168" s="161"/>
      <c r="O168" s="1417" t="s">
        <v>708</v>
      </c>
      <c r="P168" s="161"/>
      <c r="Q168" s="1417" t="s">
        <v>708</v>
      </c>
      <c r="R168" s="1394"/>
      <c r="S168" s="1420">
        <f t="shared" si="81"/>
        <v>3.6603735336000001</v>
      </c>
      <c r="T168" s="1469"/>
      <c r="U168" s="1417" t="s">
        <v>708</v>
      </c>
      <c r="V168" s="652"/>
      <c r="W168" s="1423"/>
      <c r="X168" s="161"/>
      <c r="Y168" s="161"/>
      <c r="Z168" s="161"/>
      <c r="AA168" s="161"/>
      <c r="AB168" s="161"/>
      <c r="AC168" s="161"/>
      <c r="AD168" s="161"/>
      <c r="AE168" s="161"/>
      <c r="AF168" s="161"/>
      <c r="AG168" s="161"/>
      <c r="AH168" s="161"/>
      <c r="AI168" s="161"/>
      <c r="AJ168" s="161"/>
      <c r="AK168" s="161"/>
      <c r="AL168" s="161"/>
      <c r="AM168" s="161"/>
      <c r="AN168" s="161"/>
      <c r="AO168" s="161"/>
      <c r="AP168" s="161"/>
      <c r="AQ168" s="161"/>
      <c r="AR168" s="161"/>
      <c r="AS168" s="161"/>
      <c r="AT168" s="161"/>
      <c r="AU168" s="161"/>
      <c r="AV168" s="161"/>
      <c r="AW168" s="161"/>
      <c r="AX168" s="161"/>
      <c r="AY168" s="161"/>
      <c r="AZ168" s="161"/>
      <c r="BA168" s="161"/>
      <c r="BB168" s="161"/>
      <c r="BC168" s="161"/>
      <c r="BD168" s="161"/>
      <c r="BE168" s="161"/>
      <c r="BF168" s="161"/>
      <c r="BG168" s="161"/>
      <c r="BH168" s="161"/>
      <c r="BI168" s="161"/>
      <c r="BJ168" s="161"/>
      <c r="BK168" s="161"/>
      <c r="BL168" s="161"/>
      <c r="BM168" s="161"/>
      <c r="BN168" s="161"/>
      <c r="BO168" s="161"/>
      <c r="BP168" s="161"/>
      <c r="BQ168" s="161"/>
      <c r="BR168" s="161"/>
      <c r="BS168" s="161"/>
      <c r="BT168" s="161"/>
      <c r="BU168" s="161"/>
      <c r="BV168" s="161"/>
      <c r="BW168" s="161"/>
      <c r="BX168" s="161"/>
      <c r="BY168" s="161"/>
      <c r="BZ168" s="161"/>
      <c r="CA168" s="161"/>
      <c r="CB168" s="161"/>
      <c r="CC168" s="161"/>
    </row>
    <row r="169" spans="1:81" ht="11.25" customHeight="1" x14ac:dyDescent="0.2">
      <c r="A169" s="161"/>
      <c r="B169" s="1428" t="s">
        <v>1101</v>
      </c>
      <c r="C169" s="1467">
        <v>16</v>
      </c>
      <c r="D169" s="663"/>
      <c r="E169" s="161">
        <v>1.8</v>
      </c>
      <c r="F169" s="161"/>
      <c r="G169" s="161">
        <v>0.83</v>
      </c>
      <c r="H169" s="161"/>
      <c r="I169" s="1425">
        <f t="shared" si="78"/>
        <v>8724.9599999999991</v>
      </c>
      <c r="J169" s="663"/>
      <c r="K169" s="1425">
        <f t="shared" si="79"/>
        <v>1.7449919999999997E-2</v>
      </c>
      <c r="L169" s="1468"/>
      <c r="M169" s="1434">
        <f t="shared" si="80"/>
        <v>8724.9599999999991</v>
      </c>
      <c r="N169" s="161"/>
      <c r="O169" s="1417" t="s">
        <v>708</v>
      </c>
      <c r="P169" s="161"/>
      <c r="Q169" s="1417" t="s">
        <v>708</v>
      </c>
      <c r="R169" s="1394"/>
      <c r="S169" s="1420">
        <f t="shared" ref="S169:S171" si="82">(((M169)*(0.958)*(1-0.2)*0.0125))/1000</f>
        <v>8.3585116800000012E-2</v>
      </c>
      <c r="T169" s="1469"/>
      <c r="U169" s="1417" t="s">
        <v>708</v>
      </c>
      <c r="V169" s="652"/>
      <c r="W169" s="1423"/>
      <c r="X169" s="161"/>
      <c r="Y169" s="161"/>
      <c r="Z169" s="161"/>
      <c r="AA169" s="161"/>
      <c r="AB169" s="161"/>
      <c r="AC169" s="161"/>
      <c r="AD169" s="161"/>
      <c r="AE169" s="161"/>
      <c r="AF169" s="161"/>
      <c r="AG169" s="161"/>
      <c r="AH169" s="161"/>
      <c r="AI169" s="161"/>
      <c r="AJ169" s="161"/>
      <c r="AK169" s="161"/>
      <c r="AL169" s="161"/>
      <c r="AM169" s="161"/>
      <c r="AN169" s="161"/>
      <c r="AO169" s="161"/>
      <c r="AP169" s="161"/>
      <c r="AQ169" s="161"/>
      <c r="AR169" s="161"/>
      <c r="AS169" s="161"/>
      <c r="AT169" s="161"/>
      <c r="AU169" s="161"/>
      <c r="AV169" s="161"/>
      <c r="AW169" s="161"/>
      <c r="AX169" s="161"/>
      <c r="AY169" s="161"/>
      <c r="AZ169" s="161"/>
      <c r="BA169" s="161"/>
      <c r="BB169" s="161"/>
      <c r="BC169" s="161"/>
      <c r="BD169" s="161"/>
      <c r="BE169" s="161"/>
      <c r="BF169" s="161"/>
      <c r="BG169" s="161"/>
      <c r="BH169" s="161"/>
      <c r="BI169" s="161"/>
      <c r="BJ169" s="161"/>
      <c r="BK169" s="161"/>
      <c r="BL169" s="161"/>
      <c r="BM169" s="161"/>
      <c r="BN169" s="161"/>
      <c r="BO169" s="161"/>
      <c r="BP169" s="161"/>
      <c r="BQ169" s="161"/>
      <c r="BR169" s="161"/>
      <c r="BS169" s="161"/>
      <c r="BT169" s="161"/>
      <c r="BU169" s="161"/>
      <c r="BV169" s="161"/>
      <c r="BW169" s="161"/>
      <c r="BX169" s="161"/>
      <c r="BY169" s="161"/>
      <c r="BZ169" s="161"/>
      <c r="CA169" s="161"/>
      <c r="CB169" s="161"/>
      <c r="CC169" s="161"/>
    </row>
    <row r="170" spans="1:81" ht="11.25" customHeight="1" x14ac:dyDescent="0.2">
      <c r="A170" s="161"/>
      <c r="B170" s="1428" t="s">
        <v>1102</v>
      </c>
      <c r="C170" s="1467">
        <v>54090.909</v>
      </c>
      <c r="D170" s="663"/>
      <c r="E170" s="161">
        <v>0.9</v>
      </c>
      <c r="F170" s="161"/>
      <c r="G170" s="161">
        <v>1.1000000000000001</v>
      </c>
      <c r="H170" s="161"/>
      <c r="I170" s="1425">
        <f t="shared" si="78"/>
        <v>19545749.967150003</v>
      </c>
      <c r="J170" s="663"/>
      <c r="K170" s="1425">
        <f t="shared" si="79"/>
        <v>39.09149993430001</v>
      </c>
      <c r="L170" s="1468"/>
      <c r="M170" s="1434">
        <f t="shared" si="80"/>
        <v>19545749.967150003</v>
      </c>
      <c r="N170" s="161"/>
      <c r="O170" s="1417" t="s">
        <v>708</v>
      </c>
      <c r="P170" s="161"/>
      <c r="Q170" s="1417" t="s">
        <v>708</v>
      </c>
      <c r="R170" s="1394"/>
      <c r="S170" s="1420">
        <f t="shared" si="82"/>
        <v>187.24828468529705</v>
      </c>
      <c r="T170" s="1469"/>
      <c r="U170" s="1417" t="s">
        <v>708</v>
      </c>
      <c r="V170" s="161"/>
      <c r="W170" s="1423"/>
      <c r="X170" s="161"/>
      <c r="Y170" s="161"/>
      <c r="Z170" s="161"/>
      <c r="AA170" s="161"/>
      <c r="AB170" s="161"/>
      <c r="AC170" s="161"/>
      <c r="AD170" s="161"/>
      <c r="AE170" s="161"/>
      <c r="AF170" s="161"/>
      <c r="AG170" s="161"/>
      <c r="AH170" s="161"/>
      <c r="AI170" s="161"/>
      <c r="AJ170" s="161"/>
      <c r="AK170" s="161"/>
      <c r="AL170" s="161"/>
      <c r="AM170" s="161"/>
      <c r="AN170" s="161"/>
      <c r="AO170" s="161"/>
      <c r="AP170" s="161"/>
      <c r="AQ170" s="161"/>
      <c r="AR170" s="161"/>
      <c r="AS170" s="161"/>
      <c r="AT170" s="161"/>
      <c r="AU170" s="161"/>
      <c r="AV170" s="161"/>
      <c r="AW170" s="161"/>
      <c r="AX170" s="161"/>
      <c r="AY170" s="161"/>
      <c r="AZ170" s="161"/>
      <c r="BA170" s="161"/>
      <c r="BB170" s="161"/>
      <c r="BC170" s="161"/>
      <c r="BD170" s="161"/>
      <c r="BE170" s="161"/>
      <c r="BF170" s="161"/>
      <c r="BG170" s="161"/>
      <c r="BH170" s="161"/>
      <c r="BI170" s="161"/>
      <c r="BJ170" s="161"/>
      <c r="BK170" s="161"/>
      <c r="BL170" s="161"/>
      <c r="BM170" s="161"/>
      <c r="BN170" s="161"/>
      <c r="BO170" s="161"/>
      <c r="BP170" s="161"/>
      <c r="BQ170" s="161"/>
      <c r="BR170" s="161"/>
      <c r="BS170" s="161"/>
      <c r="BT170" s="161"/>
      <c r="BU170" s="161"/>
      <c r="BV170" s="161"/>
      <c r="BW170" s="161"/>
      <c r="BX170" s="161"/>
      <c r="BY170" s="161"/>
      <c r="BZ170" s="161"/>
      <c r="CA170" s="161"/>
      <c r="CB170" s="161"/>
      <c r="CC170" s="161"/>
    </row>
    <row r="171" spans="1:81" ht="11.25" customHeight="1" x14ac:dyDescent="0.2">
      <c r="A171" s="161"/>
      <c r="B171" s="1428" t="s">
        <v>1104</v>
      </c>
      <c r="C171" s="1467">
        <v>0</v>
      </c>
      <c r="D171" s="663"/>
      <c r="E171" s="161">
        <v>6.8</v>
      </c>
      <c r="F171" s="161"/>
      <c r="G171" s="161">
        <v>0.74</v>
      </c>
      <c r="H171" s="161"/>
      <c r="I171" s="1425">
        <f t="shared" si="78"/>
        <v>0</v>
      </c>
      <c r="J171" s="663"/>
      <c r="K171" s="1425">
        <f t="shared" si="79"/>
        <v>0</v>
      </c>
      <c r="L171" s="1468"/>
      <c r="M171" s="1434">
        <f t="shared" si="80"/>
        <v>0</v>
      </c>
      <c r="N171" s="161"/>
      <c r="O171" s="1425">
        <f>C171*(BS149)*E171*G171*365</f>
        <v>0</v>
      </c>
      <c r="P171" s="161"/>
      <c r="Q171" s="1417" t="s">
        <v>708</v>
      </c>
      <c r="R171" s="1394"/>
      <c r="S171" s="1434">
        <f t="shared" si="82"/>
        <v>0</v>
      </c>
      <c r="T171" s="1469"/>
      <c r="U171" s="1434">
        <f>(O171*0.02)/1000</f>
        <v>0</v>
      </c>
      <c r="V171" s="161"/>
      <c r="W171" s="161"/>
      <c r="X171" s="161"/>
      <c r="Y171" s="161"/>
      <c r="Z171" s="161"/>
      <c r="AA171" s="161"/>
      <c r="AB171" s="161"/>
      <c r="AC171" s="161"/>
      <c r="AD171" s="161"/>
      <c r="AE171" s="161"/>
      <c r="AF171" s="161"/>
      <c r="AG171" s="161"/>
      <c r="AH171" s="161"/>
      <c r="AI171" s="161"/>
      <c r="AJ171" s="161"/>
      <c r="AK171" s="161"/>
      <c r="AL171" s="161"/>
      <c r="AM171" s="161"/>
      <c r="AN171" s="161"/>
      <c r="AO171" s="161"/>
      <c r="AP171" s="161"/>
      <c r="AQ171" s="161"/>
      <c r="AR171" s="161"/>
      <c r="AS171" s="161"/>
      <c r="AT171" s="161"/>
      <c r="AU171" s="161"/>
      <c r="AV171" s="161"/>
      <c r="AW171" s="161"/>
      <c r="AX171" s="161"/>
      <c r="AY171" s="161"/>
      <c r="AZ171" s="161"/>
      <c r="BA171" s="161"/>
      <c r="BB171" s="161"/>
      <c r="BC171" s="161"/>
      <c r="BD171" s="161"/>
      <c r="BE171" s="161"/>
      <c r="BF171" s="161"/>
      <c r="BG171" s="161"/>
      <c r="BH171" s="161"/>
      <c r="BI171" s="161"/>
      <c r="BJ171" s="161"/>
      <c r="BK171" s="161"/>
      <c r="BL171" s="161"/>
      <c r="BM171" s="161"/>
      <c r="BN171" s="161"/>
      <c r="BO171" s="161"/>
      <c r="BP171" s="161"/>
      <c r="BQ171" s="161"/>
      <c r="BR171" s="161"/>
      <c r="BS171" s="161"/>
      <c r="BT171" s="161"/>
      <c r="BU171" s="161"/>
      <c r="BV171" s="161"/>
      <c r="BW171" s="161"/>
      <c r="BX171" s="161"/>
      <c r="BY171" s="161"/>
      <c r="BZ171" s="161"/>
      <c r="CA171" s="161"/>
      <c r="CB171" s="161"/>
      <c r="CC171" s="161"/>
    </row>
    <row r="172" spans="1:81" ht="11.25" customHeight="1" x14ac:dyDescent="0.2">
      <c r="A172" s="161"/>
      <c r="B172" s="656" t="s">
        <v>92</v>
      </c>
      <c r="C172" s="1487"/>
      <c r="D172" s="663"/>
      <c r="E172" s="161"/>
      <c r="F172" s="161"/>
      <c r="G172" s="161"/>
      <c r="H172" s="161"/>
      <c r="I172" s="1488"/>
      <c r="J172" s="663"/>
      <c r="K172" s="1488"/>
      <c r="L172" s="161"/>
      <c r="M172" s="161"/>
      <c r="N172" s="161"/>
      <c r="O172" s="161"/>
      <c r="P172" s="161"/>
      <c r="Q172" s="161"/>
      <c r="R172" s="1394"/>
      <c r="S172" s="161"/>
      <c r="T172" s="161"/>
      <c r="U172" s="161"/>
      <c r="V172" s="161"/>
      <c r="W172" s="161"/>
      <c r="X172" s="161"/>
      <c r="Y172" s="161"/>
      <c r="Z172" s="161"/>
      <c r="AA172" s="161"/>
      <c r="AB172" s="161"/>
      <c r="AC172" s="161"/>
      <c r="AD172" s="161"/>
      <c r="AE172" s="161"/>
      <c r="AF172" s="161"/>
      <c r="AG172" s="161"/>
      <c r="AH172" s="161"/>
      <c r="AI172" s="161"/>
      <c r="AJ172" s="161"/>
      <c r="AK172" s="161"/>
      <c r="AL172" s="161"/>
      <c r="AM172" s="161"/>
      <c r="AN172" s="161"/>
      <c r="AO172" s="161"/>
      <c r="AP172" s="161"/>
      <c r="AQ172" s="161"/>
      <c r="AR172" s="161"/>
      <c r="AS172" s="161"/>
      <c r="AT172" s="161"/>
      <c r="AU172" s="161"/>
      <c r="AV172" s="161"/>
      <c r="AW172" s="161"/>
      <c r="AX172" s="161"/>
      <c r="AY172" s="161"/>
      <c r="AZ172" s="161"/>
      <c r="BA172" s="161"/>
      <c r="BB172" s="161"/>
      <c r="BC172" s="161"/>
      <c r="BD172" s="161"/>
      <c r="BE172" s="161"/>
      <c r="BF172" s="161"/>
      <c r="BG172" s="161"/>
      <c r="BH172" s="161"/>
      <c r="BI172" s="161"/>
      <c r="BJ172" s="161"/>
      <c r="BK172" s="161"/>
      <c r="BL172" s="161"/>
      <c r="BM172" s="161"/>
      <c r="BN172" s="161"/>
      <c r="BO172" s="161"/>
      <c r="BP172" s="161"/>
      <c r="BQ172" s="161"/>
      <c r="BR172" s="161"/>
      <c r="BS172" s="161"/>
      <c r="BT172" s="161"/>
      <c r="BU172" s="161"/>
      <c r="BV172" s="161"/>
      <c r="BW172" s="161"/>
      <c r="BX172" s="161"/>
      <c r="BY172" s="161"/>
      <c r="BZ172" s="161"/>
      <c r="CA172" s="161"/>
      <c r="CB172" s="161"/>
      <c r="CC172" s="161"/>
    </row>
    <row r="173" spans="1:81" ht="11.25" customHeight="1" x14ac:dyDescent="0.2">
      <c r="A173" s="161"/>
      <c r="B173" s="1428" t="s">
        <v>1106</v>
      </c>
      <c r="C173" s="1467">
        <v>0</v>
      </c>
      <c r="D173" s="663"/>
      <c r="E173" s="161">
        <v>27</v>
      </c>
      <c r="F173" s="161"/>
      <c r="G173" s="161">
        <v>0.42</v>
      </c>
      <c r="H173" s="161"/>
      <c r="I173" s="1425">
        <f t="shared" ref="I173:I176" si="83">C173*E173*G173*365</f>
        <v>0</v>
      </c>
      <c r="J173" s="663"/>
      <c r="K173" s="1425">
        <f t="shared" ref="K173:K176" si="84">(I173*0.2*0.01)/1000</f>
        <v>0</v>
      </c>
      <c r="L173" s="663"/>
      <c r="M173" s="1434">
        <f>C173*(1-BV149)*E173*G173*365</f>
        <v>0</v>
      </c>
      <c r="N173" s="663"/>
      <c r="O173" s="1425">
        <f>C173*(BV149)*E173*G173*365</f>
        <v>0</v>
      </c>
      <c r="P173" s="663"/>
      <c r="Q173" s="1417" t="s">
        <v>708</v>
      </c>
      <c r="R173" s="1394"/>
      <c r="S173" s="1434">
        <f t="shared" ref="S173:S174" si="85">((M173)*(1-0.2)*0.0125)/1000</f>
        <v>0</v>
      </c>
      <c r="T173" s="1469"/>
      <c r="U173" s="1434">
        <f t="shared" ref="U173:U176" si="86">(O173*0.02)/1000</f>
        <v>0</v>
      </c>
      <c r="V173" s="161"/>
      <c r="W173" s="161"/>
      <c r="X173" s="161"/>
      <c r="Y173" s="161"/>
      <c r="Z173" s="161"/>
      <c r="AA173" s="161"/>
      <c r="AB173" s="161"/>
      <c r="AC173" s="161"/>
      <c r="AD173" s="161"/>
      <c r="AE173" s="161"/>
      <c r="AF173" s="161"/>
      <c r="AG173" s="161"/>
      <c r="AH173" s="161"/>
      <c r="AI173" s="161"/>
      <c r="AJ173" s="161"/>
      <c r="AK173" s="161"/>
      <c r="AL173" s="161"/>
      <c r="AM173" s="161"/>
      <c r="AN173" s="161"/>
      <c r="AO173" s="161"/>
      <c r="AP173" s="161"/>
      <c r="AQ173" s="161"/>
      <c r="AR173" s="161"/>
      <c r="AS173" s="161"/>
      <c r="AT173" s="161"/>
      <c r="AU173" s="161"/>
      <c r="AV173" s="161"/>
      <c r="AW173" s="161"/>
      <c r="AX173" s="161"/>
      <c r="AY173" s="161"/>
      <c r="AZ173" s="161"/>
      <c r="BA173" s="161"/>
      <c r="BB173" s="161"/>
      <c r="BC173" s="161"/>
      <c r="BD173" s="161"/>
      <c r="BE173" s="161"/>
      <c r="BF173" s="161"/>
      <c r="BG173" s="161"/>
      <c r="BH173" s="161"/>
      <c r="BI173" s="161"/>
      <c r="BJ173" s="161"/>
      <c r="BK173" s="161"/>
      <c r="BL173" s="161"/>
      <c r="BM173" s="161"/>
      <c r="BN173" s="161"/>
      <c r="BO173" s="161"/>
      <c r="BP173" s="161"/>
      <c r="BQ173" s="161"/>
      <c r="BR173" s="161"/>
      <c r="BS173" s="161"/>
      <c r="BT173" s="161"/>
      <c r="BU173" s="161"/>
      <c r="BV173" s="161"/>
      <c r="BW173" s="161"/>
      <c r="BX173" s="161"/>
      <c r="BY173" s="161"/>
      <c r="BZ173" s="161"/>
      <c r="CA173" s="161"/>
      <c r="CB173" s="161"/>
      <c r="CC173" s="161"/>
    </row>
    <row r="174" spans="1:81" ht="11.25" customHeight="1" x14ac:dyDescent="0.2">
      <c r="A174" s="161"/>
      <c r="B174" s="1428" t="s">
        <v>1116</v>
      </c>
      <c r="C174" s="1467">
        <v>22</v>
      </c>
      <c r="D174" s="663"/>
      <c r="E174" s="161">
        <v>27</v>
      </c>
      <c r="F174" s="161"/>
      <c r="G174" s="161">
        <v>0.42</v>
      </c>
      <c r="H174" s="161"/>
      <c r="I174" s="1425">
        <f t="shared" si="83"/>
        <v>91060.2</v>
      </c>
      <c r="J174" s="663"/>
      <c r="K174" s="1425">
        <f t="shared" si="84"/>
        <v>0.18212040000000002</v>
      </c>
      <c r="L174" s="663"/>
      <c r="M174" s="1434">
        <f>C174*(1-BW149)*E174*G174*365</f>
        <v>0</v>
      </c>
      <c r="N174" s="663"/>
      <c r="O174" s="1425">
        <f>C174*(BW149)*E174*G174*365</f>
        <v>91060.2</v>
      </c>
      <c r="P174" s="663"/>
      <c r="Q174" s="1417" t="s">
        <v>708</v>
      </c>
      <c r="R174" s="1394"/>
      <c r="S174" s="1434">
        <f t="shared" si="85"/>
        <v>0</v>
      </c>
      <c r="T174" s="1469"/>
      <c r="U174" s="1434">
        <f t="shared" si="86"/>
        <v>1.821204</v>
      </c>
      <c r="V174" s="161"/>
      <c r="W174" s="161"/>
      <c r="X174" s="161"/>
      <c r="Y174" s="161"/>
      <c r="Z174" s="161"/>
      <c r="AA174" s="161"/>
      <c r="AB174" s="161"/>
      <c r="AC174" s="161"/>
      <c r="AD174" s="161"/>
      <c r="AE174" s="161"/>
      <c r="AF174" s="161"/>
      <c r="AG174" s="161"/>
      <c r="AH174" s="161"/>
      <c r="AI174" s="161"/>
      <c r="AJ174" s="161"/>
      <c r="AK174" s="161"/>
      <c r="AL174" s="161"/>
      <c r="AM174" s="161"/>
      <c r="AN174" s="161"/>
      <c r="AO174" s="161"/>
      <c r="AP174" s="161"/>
      <c r="AQ174" s="161"/>
      <c r="AR174" s="161"/>
      <c r="AS174" s="161"/>
      <c r="AT174" s="161"/>
      <c r="AU174" s="161"/>
      <c r="AV174" s="161"/>
      <c r="AW174" s="161"/>
      <c r="AX174" s="161"/>
      <c r="AY174" s="161"/>
      <c r="AZ174" s="161"/>
      <c r="BA174" s="161"/>
      <c r="BB174" s="161"/>
      <c r="BC174" s="161"/>
      <c r="BD174" s="161"/>
      <c r="BE174" s="161"/>
      <c r="BF174" s="161"/>
      <c r="BG174" s="161"/>
      <c r="BH174" s="161"/>
      <c r="BI174" s="161"/>
      <c r="BJ174" s="161"/>
      <c r="BK174" s="161"/>
      <c r="BL174" s="161"/>
      <c r="BM174" s="161"/>
      <c r="BN174" s="161"/>
      <c r="BO174" s="161"/>
      <c r="BP174" s="161"/>
      <c r="BQ174" s="161"/>
      <c r="BR174" s="161"/>
      <c r="BS174" s="161"/>
      <c r="BT174" s="161"/>
      <c r="BU174" s="161"/>
      <c r="BV174" s="161"/>
      <c r="BW174" s="161"/>
      <c r="BX174" s="161"/>
      <c r="BY174" s="161"/>
      <c r="BZ174" s="161"/>
      <c r="CA174" s="161"/>
      <c r="CB174" s="161"/>
      <c r="CC174" s="161"/>
    </row>
    <row r="175" spans="1:81" ht="11.25" customHeight="1" x14ac:dyDescent="0.2">
      <c r="A175" s="161"/>
      <c r="B175" s="1428" t="s">
        <v>1012</v>
      </c>
      <c r="C175" s="1467">
        <v>9.6010000000000009</v>
      </c>
      <c r="D175" s="663"/>
      <c r="E175" s="161">
        <v>64</v>
      </c>
      <c r="F175" s="161"/>
      <c r="G175" s="161">
        <v>0.45</v>
      </c>
      <c r="H175" s="161"/>
      <c r="I175" s="1425">
        <f t="shared" si="83"/>
        <v>100925.712</v>
      </c>
      <c r="J175" s="663"/>
      <c r="K175" s="1425">
        <f t="shared" si="84"/>
        <v>0.201851424</v>
      </c>
      <c r="L175" s="663"/>
      <c r="M175" s="1425" t="s">
        <v>708</v>
      </c>
      <c r="N175" s="663"/>
      <c r="O175" s="1425">
        <f>C175*(BZ149)*E175*G175*365</f>
        <v>100925.712</v>
      </c>
      <c r="P175" s="663"/>
      <c r="Q175" s="1417" t="s">
        <v>708</v>
      </c>
      <c r="R175" s="1394"/>
      <c r="S175" s="1425" t="s">
        <v>708</v>
      </c>
      <c r="T175" s="1469"/>
      <c r="U175" s="1434">
        <f t="shared" si="86"/>
        <v>2.01851424</v>
      </c>
      <c r="V175" s="161"/>
      <c r="W175" s="161"/>
      <c r="X175" s="161"/>
      <c r="Y175" s="161"/>
      <c r="Z175" s="161"/>
      <c r="AA175" s="161"/>
      <c r="AB175" s="161"/>
      <c r="AC175" s="161"/>
      <c r="AD175" s="161"/>
      <c r="AE175" s="161"/>
      <c r="AF175" s="161"/>
      <c r="AG175" s="161"/>
      <c r="AH175" s="161"/>
      <c r="AI175" s="161"/>
      <c r="AJ175" s="161"/>
      <c r="AK175" s="161"/>
      <c r="AL175" s="161"/>
      <c r="AM175" s="161"/>
      <c r="AN175" s="161"/>
      <c r="AO175" s="161"/>
      <c r="AP175" s="161"/>
      <c r="AQ175" s="161"/>
      <c r="AR175" s="161"/>
      <c r="AS175" s="161"/>
      <c r="AT175" s="161"/>
      <c r="AU175" s="161"/>
      <c r="AV175" s="161"/>
      <c r="AW175" s="161"/>
      <c r="AX175" s="161"/>
      <c r="AY175" s="161"/>
      <c r="AZ175" s="161"/>
      <c r="BA175" s="161"/>
      <c r="BB175" s="161"/>
      <c r="BC175" s="161"/>
      <c r="BD175" s="161"/>
      <c r="BE175" s="161"/>
      <c r="BF175" s="161"/>
      <c r="BG175" s="161"/>
      <c r="BH175" s="161"/>
      <c r="BI175" s="161"/>
      <c r="BJ175" s="161"/>
      <c r="BK175" s="161"/>
      <c r="BL175" s="161"/>
      <c r="BM175" s="161"/>
      <c r="BN175" s="161"/>
      <c r="BO175" s="161"/>
      <c r="BP175" s="161"/>
      <c r="BQ175" s="161"/>
      <c r="BR175" s="161"/>
      <c r="BS175" s="161"/>
      <c r="BT175" s="161"/>
      <c r="BU175" s="161"/>
      <c r="BV175" s="161"/>
      <c r="BW175" s="161"/>
      <c r="BX175" s="161"/>
      <c r="BY175" s="161"/>
      <c r="BZ175" s="161"/>
      <c r="CA175" s="161"/>
      <c r="CB175" s="161"/>
      <c r="CC175" s="161"/>
    </row>
    <row r="176" spans="1:81" ht="12" customHeight="1" x14ac:dyDescent="0.2">
      <c r="A176" s="161"/>
      <c r="B176" s="1428" t="s">
        <v>1014</v>
      </c>
      <c r="C176" s="1467">
        <v>65.510999999999996</v>
      </c>
      <c r="D176" s="663"/>
      <c r="E176" s="161">
        <v>450</v>
      </c>
      <c r="F176" s="161"/>
      <c r="G176" s="161">
        <v>0.3</v>
      </c>
      <c r="H176" s="161"/>
      <c r="I176" s="1425">
        <f t="shared" si="83"/>
        <v>3228054.5249999994</v>
      </c>
      <c r="J176" s="663"/>
      <c r="K176" s="1425">
        <f t="shared" si="84"/>
        <v>6.4561090499999993</v>
      </c>
      <c r="L176" s="663"/>
      <c r="M176" s="1425" t="s">
        <v>708</v>
      </c>
      <c r="N176" s="663"/>
      <c r="O176" s="1425">
        <f>C176*CC149*E176*G176*365</f>
        <v>3228054.5249999994</v>
      </c>
      <c r="P176" s="663"/>
      <c r="Q176" s="1417" t="s">
        <v>708</v>
      </c>
      <c r="R176" s="1394"/>
      <c r="S176" s="1496" t="s">
        <v>708</v>
      </c>
      <c r="T176" s="1469"/>
      <c r="U176" s="1434">
        <f t="shared" si="86"/>
        <v>64.561090499999992</v>
      </c>
      <c r="V176" s="161"/>
      <c r="W176" s="161"/>
      <c r="X176" s="161"/>
      <c r="Y176" s="161"/>
      <c r="Z176" s="161"/>
      <c r="AA176" s="161"/>
      <c r="AB176" s="161"/>
      <c r="AC176" s="161"/>
      <c r="AD176" s="161"/>
      <c r="AE176" s="161"/>
      <c r="AF176" s="161"/>
      <c r="AG176" s="161"/>
      <c r="AH176" s="161"/>
      <c r="AI176" s="161"/>
      <c r="AJ176" s="161"/>
      <c r="AK176" s="161"/>
      <c r="AL176" s="161"/>
      <c r="AM176" s="161"/>
      <c r="AN176" s="161"/>
      <c r="AO176" s="161"/>
      <c r="AP176" s="161"/>
      <c r="AQ176" s="161"/>
      <c r="AR176" s="161"/>
      <c r="AS176" s="161"/>
      <c r="AT176" s="161"/>
      <c r="AU176" s="161"/>
      <c r="AV176" s="161"/>
      <c r="AW176" s="161"/>
      <c r="AX176" s="161"/>
      <c r="AY176" s="161"/>
      <c r="AZ176" s="161"/>
      <c r="BA176" s="161"/>
      <c r="BB176" s="161"/>
      <c r="BC176" s="161"/>
      <c r="BD176" s="161"/>
      <c r="BE176" s="161"/>
      <c r="BF176" s="161"/>
      <c r="BG176" s="161"/>
      <c r="BH176" s="161"/>
      <c r="BI176" s="161"/>
      <c r="BJ176" s="161"/>
      <c r="BK176" s="161"/>
      <c r="BL176" s="161"/>
      <c r="BM176" s="161"/>
      <c r="BN176" s="161"/>
      <c r="BO176" s="161"/>
      <c r="BP176" s="161"/>
      <c r="BQ176" s="161"/>
      <c r="BR176" s="161"/>
      <c r="BS176" s="161"/>
      <c r="BT176" s="161"/>
      <c r="BU176" s="161"/>
      <c r="BV176" s="161"/>
      <c r="BW176" s="161"/>
      <c r="BX176" s="161"/>
      <c r="BY176" s="161"/>
      <c r="BZ176" s="161"/>
      <c r="CA176" s="161"/>
      <c r="CB176" s="161"/>
      <c r="CC176" s="161"/>
    </row>
    <row r="177" spans="1:81" ht="12" customHeight="1" x14ac:dyDescent="0.2">
      <c r="A177" s="161"/>
      <c r="B177" s="656" t="s">
        <v>907</v>
      </c>
      <c r="C177" s="704"/>
      <c r="D177" s="663"/>
      <c r="E177" s="161"/>
      <c r="F177" s="161"/>
      <c r="G177" s="161"/>
      <c r="H177" s="161"/>
      <c r="I177" s="1412">
        <f>SUM(I149:I176)</f>
        <v>39420248.386150002</v>
      </c>
      <c r="J177" s="663"/>
      <c r="K177" s="1412">
        <f>SUM(K149:K176)</f>
        <v>78.840496772300014</v>
      </c>
      <c r="L177" s="161"/>
      <c r="M177" s="1412">
        <f>SUM(M149:M176)</f>
        <v>26211929.699951574</v>
      </c>
      <c r="N177" s="663"/>
      <c r="O177" s="1412">
        <f>SUM(O149:O176)</f>
        <v>9477687.9488774259</v>
      </c>
      <c r="P177" s="161"/>
      <c r="Q177" s="1412">
        <f>SUM(Q149:Q176)</f>
        <v>3730630.7373210033</v>
      </c>
      <c r="R177" s="663"/>
      <c r="S177" s="1497">
        <f>SUM(S149:S176)</f>
        <v>290.46593192492281</v>
      </c>
      <c r="T177" s="1498"/>
      <c r="U177" s="1412">
        <f>SUM(U149:U176)</f>
        <v>189.55375897754851</v>
      </c>
      <c r="V177" s="161"/>
      <c r="W177" s="161"/>
      <c r="X177" s="161"/>
      <c r="Y177" s="161"/>
      <c r="Z177" s="161"/>
      <c r="AA177" s="161"/>
      <c r="AB177" s="161"/>
      <c r="AC177" s="161"/>
      <c r="AD177" s="161"/>
      <c r="AE177" s="161"/>
      <c r="AF177" s="161"/>
      <c r="AG177" s="161"/>
      <c r="AH177" s="161"/>
      <c r="AI177" s="161"/>
      <c r="AJ177" s="161"/>
      <c r="AK177" s="161"/>
      <c r="AL177" s="161"/>
      <c r="AM177" s="161"/>
      <c r="AN177" s="161"/>
      <c r="AO177" s="161"/>
      <c r="AP177" s="161"/>
      <c r="AQ177" s="161"/>
      <c r="AR177" s="161"/>
      <c r="AS177" s="161"/>
      <c r="AT177" s="161"/>
      <c r="AU177" s="161"/>
      <c r="AV177" s="161"/>
      <c r="AW177" s="161"/>
      <c r="AX177" s="161"/>
      <c r="AY177" s="161"/>
      <c r="AZ177" s="161"/>
      <c r="BA177" s="161"/>
      <c r="BB177" s="161"/>
      <c r="BC177" s="161"/>
      <c r="BD177" s="161"/>
      <c r="BE177" s="161"/>
      <c r="BF177" s="161"/>
      <c r="BG177" s="161"/>
      <c r="BH177" s="161"/>
      <c r="BI177" s="161"/>
      <c r="BJ177" s="161"/>
      <c r="BK177" s="161"/>
      <c r="BL177" s="161"/>
      <c r="BM177" s="161"/>
      <c r="BN177" s="161"/>
      <c r="BO177" s="161"/>
      <c r="BP177" s="161"/>
      <c r="BQ177" s="161"/>
      <c r="BR177" s="161"/>
      <c r="BS177" s="161"/>
      <c r="BT177" s="161"/>
      <c r="BU177" s="161"/>
      <c r="BV177" s="161"/>
      <c r="BW177" s="161"/>
      <c r="BX177" s="161"/>
      <c r="BY177" s="161"/>
      <c r="BZ177" s="161"/>
      <c r="CA177" s="161"/>
      <c r="CB177" s="161"/>
      <c r="CC177" s="161"/>
    </row>
    <row r="178" spans="1:81" ht="11.25" customHeight="1" x14ac:dyDescent="0.2">
      <c r="A178" s="161"/>
      <c r="B178" s="656"/>
      <c r="C178" s="704"/>
      <c r="D178" s="663"/>
      <c r="E178" s="1413"/>
      <c r="F178" s="663"/>
      <c r="G178" s="1413"/>
      <c r="H178" s="161"/>
      <c r="I178" s="161"/>
      <c r="J178" s="161"/>
      <c r="K178" s="161"/>
      <c r="L178" s="161"/>
      <c r="M178" s="161"/>
      <c r="N178" s="161"/>
      <c r="O178" s="161"/>
      <c r="P178" s="161"/>
      <c r="Q178" s="161"/>
      <c r="R178" s="161"/>
      <c r="S178" s="161"/>
      <c r="T178" s="161"/>
      <c r="U178" s="161"/>
      <c r="V178" s="161"/>
      <c r="W178" s="161"/>
      <c r="X178" s="161"/>
      <c r="Y178" s="161"/>
      <c r="Z178" s="161"/>
      <c r="AA178" s="161"/>
      <c r="AB178" s="161"/>
      <c r="AC178" s="161"/>
      <c r="AD178" s="161"/>
      <c r="AE178" s="161"/>
      <c r="AF178" s="161"/>
      <c r="AG178" s="161"/>
      <c r="AH178" s="161"/>
      <c r="AI178" s="161"/>
      <c r="AJ178" s="161"/>
      <c r="AK178" s="161"/>
      <c r="AL178" s="161"/>
      <c r="AM178" s="161"/>
      <c r="AN178" s="161"/>
      <c r="AO178" s="161"/>
      <c r="AP178" s="161"/>
      <c r="AQ178" s="161"/>
      <c r="AR178" s="161"/>
      <c r="AS178" s="161"/>
      <c r="AT178" s="161"/>
      <c r="AU178" s="161"/>
      <c r="AV178" s="161"/>
      <c r="AW178" s="161"/>
      <c r="AX178" s="161"/>
      <c r="AY178" s="161"/>
      <c r="AZ178" s="161"/>
      <c r="BA178" s="161"/>
      <c r="BB178" s="161"/>
      <c r="BC178" s="161"/>
      <c r="BD178" s="161"/>
      <c r="BE178" s="161"/>
      <c r="BF178" s="161"/>
      <c r="BG178" s="161"/>
      <c r="BH178" s="161"/>
      <c r="BI178" s="161"/>
      <c r="BJ178" s="161"/>
      <c r="BK178" s="161"/>
      <c r="BL178" s="161"/>
      <c r="BM178" s="161"/>
      <c r="BN178" s="161"/>
      <c r="BO178" s="161"/>
      <c r="BP178" s="161"/>
      <c r="BQ178" s="161"/>
      <c r="BR178" s="161"/>
      <c r="BS178" s="161"/>
      <c r="BT178" s="161"/>
      <c r="BU178" s="161"/>
      <c r="BV178" s="161"/>
      <c r="BW178" s="161"/>
      <c r="BX178" s="161"/>
      <c r="BY178" s="161"/>
      <c r="BZ178" s="161"/>
      <c r="CA178" s="161"/>
      <c r="CB178" s="161"/>
      <c r="CC178" s="161"/>
    </row>
    <row r="179" spans="1:81" ht="11.25" customHeight="1" x14ac:dyDescent="0.2">
      <c r="A179" s="161"/>
      <c r="B179" s="1305" t="s">
        <v>1509</v>
      </c>
      <c r="C179" s="1309"/>
      <c r="D179" s="1306"/>
      <c r="E179" s="1306"/>
      <c r="F179" s="1306"/>
      <c r="G179" s="1306"/>
      <c r="H179" s="1306"/>
      <c r="I179" s="1306"/>
      <c r="J179" s="1306"/>
      <c r="K179" s="1306"/>
      <c r="L179" s="1306"/>
      <c r="M179" s="1306"/>
      <c r="N179" s="1306"/>
      <c r="O179" s="1306"/>
      <c r="P179" s="1306"/>
      <c r="Q179" s="1306"/>
      <c r="R179" s="1499"/>
      <c r="S179" s="1306"/>
      <c r="T179" s="1306"/>
      <c r="U179" s="1306"/>
      <c r="V179" s="1306"/>
      <c r="W179" s="1306"/>
      <c r="X179" s="1306"/>
      <c r="Y179" s="1306"/>
      <c r="Z179" s="161"/>
      <c r="AA179" s="161"/>
      <c r="AB179" s="161"/>
      <c r="AC179" s="161"/>
      <c r="AD179" s="161"/>
      <c r="AE179" s="161"/>
      <c r="AF179" s="161"/>
      <c r="AG179" s="161"/>
      <c r="AH179" s="161"/>
      <c r="AI179" s="161"/>
      <c r="AJ179" s="161"/>
      <c r="AK179" s="161"/>
      <c r="AL179" s="161"/>
      <c r="AM179" s="161"/>
      <c r="AN179" s="161"/>
      <c r="AO179" s="161"/>
      <c r="AP179" s="161"/>
      <c r="AQ179" s="161"/>
      <c r="AR179" s="161"/>
      <c r="AS179" s="161"/>
      <c r="AT179" s="161"/>
      <c r="AU179" s="161"/>
      <c r="AV179" s="161"/>
      <c r="AW179" s="161"/>
      <c r="AX179" s="161"/>
      <c r="AY179" s="161"/>
      <c r="AZ179" s="161"/>
      <c r="BA179" s="161"/>
      <c r="BB179" s="161"/>
      <c r="BC179" s="161"/>
      <c r="BD179" s="161"/>
      <c r="BE179" s="161"/>
      <c r="BF179" s="161"/>
      <c r="BG179" s="161"/>
      <c r="BH179" s="161"/>
      <c r="BI179" s="161"/>
      <c r="BJ179" s="161"/>
      <c r="BK179" s="161"/>
      <c r="BL179" s="161"/>
      <c r="BM179" s="161"/>
      <c r="BN179" s="161"/>
      <c r="BO179" s="161"/>
      <c r="BP179" s="161"/>
      <c r="BQ179" s="161"/>
      <c r="BR179" s="161"/>
      <c r="BS179" s="161"/>
      <c r="BT179" s="161"/>
      <c r="BU179" s="161"/>
      <c r="BV179" s="161"/>
      <c r="BW179" s="161"/>
      <c r="BX179" s="161"/>
      <c r="BY179" s="161"/>
      <c r="BZ179" s="161"/>
      <c r="CA179" s="161"/>
      <c r="CB179" s="161"/>
      <c r="CC179" s="161"/>
    </row>
    <row r="180" spans="1:81" ht="47.25" customHeight="1" x14ac:dyDescent="0.2">
      <c r="A180" s="161"/>
      <c r="B180" s="161"/>
      <c r="C180" s="1381"/>
      <c r="D180" s="1384"/>
      <c r="E180" s="161"/>
      <c r="F180" s="663"/>
      <c r="G180" s="806" t="s">
        <v>1511</v>
      </c>
      <c r="H180" s="656"/>
      <c r="I180" s="806" t="s">
        <v>1512</v>
      </c>
      <c r="J180" s="656"/>
      <c r="K180" s="806" t="s">
        <v>1513</v>
      </c>
      <c r="L180" s="656"/>
      <c r="M180" s="656"/>
      <c r="N180" s="1413"/>
      <c r="O180" s="806" t="s">
        <v>1514</v>
      </c>
      <c r="P180" s="656"/>
      <c r="Q180" s="806" t="s">
        <v>1515</v>
      </c>
      <c r="R180" s="1413"/>
      <c r="S180" s="806" t="s">
        <v>1516</v>
      </c>
      <c r="T180" s="161"/>
      <c r="U180" s="161"/>
      <c r="V180" s="161"/>
      <c r="W180" s="161"/>
      <c r="X180" s="161"/>
      <c r="Y180" s="161"/>
      <c r="Z180" s="161"/>
      <c r="AA180" s="161"/>
      <c r="AB180" s="161"/>
      <c r="AC180" s="161"/>
      <c r="AD180" s="161"/>
      <c r="AE180" s="161"/>
      <c r="AF180" s="161"/>
      <c r="AG180" s="161"/>
      <c r="AH180" s="161"/>
      <c r="AI180" s="161"/>
      <c r="AJ180" s="161"/>
      <c r="AK180" s="161"/>
      <c r="AL180" s="161"/>
      <c r="AM180" s="161"/>
      <c r="AN180" s="161"/>
      <c r="AO180" s="161"/>
      <c r="AP180" s="161"/>
      <c r="AQ180" s="161"/>
      <c r="AR180" s="161"/>
      <c r="AS180" s="161"/>
      <c r="AT180" s="161"/>
      <c r="AU180" s="161"/>
      <c r="AV180" s="161"/>
      <c r="AW180" s="161"/>
      <c r="AX180" s="161"/>
      <c r="AY180" s="161"/>
      <c r="AZ180" s="161"/>
      <c r="BA180" s="161"/>
      <c r="BB180" s="161"/>
      <c r="BC180" s="161"/>
      <c r="BD180" s="161"/>
      <c r="BE180" s="161"/>
      <c r="BF180" s="161"/>
      <c r="BG180" s="161"/>
      <c r="BH180" s="161"/>
      <c r="BI180" s="161"/>
      <c r="BJ180" s="161"/>
      <c r="BK180" s="161"/>
      <c r="BL180" s="161"/>
      <c r="BM180" s="161"/>
      <c r="BN180" s="161"/>
      <c r="BO180" s="161"/>
      <c r="BP180" s="161"/>
      <c r="BQ180" s="161"/>
      <c r="BR180" s="161"/>
      <c r="BS180" s="161"/>
      <c r="BT180" s="161"/>
      <c r="BU180" s="161"/>
      <c r="BV180" s="161"/>
      <c r="BW180" s="161"/>
      <c r="BX180" s="161"/>
      <c r="BY180" s="161"/>
      <c r="BZ180" s="161"/>
      <c r="CA180" s="161"/>
      <c r="CB180" s="161"/>
      <c r="CC180" s="161"/>
    </row>
    <row r="181" spans="1:81" ht="12" customHeight="1" x14ac:dyDescent="0.2">
      <c r="A181" s="161"/>
      <c r="B181" s="1401"/>
      <c r="C181" s="1833" t="s">
        <v>1517</v>
      </c>
      <c r="D181" s="1766"/>
      <c r="E181" s="1766"/>
      <c r="F181" s="663"/>
      <c r="G181" s="1412">
        <f>K177*44/28</f>
        <v>123.89220921361432</v>
      </c>
      <c r="H181" s="161"/>
      <c r="I181" s="1414">
        <f t="shared" ref="I181:I184" si="87">G181*$Z$8*12/44*10^-6</f>
        <v>9.2243381223591006E-3</v>
      </c>
      <c r="J181" s="161"/>
      <c r="K181" s="1414">
        <f t="shared" ref="K181:K184" si="88">I181/(12/44)</f>
        <v>3.3822573115316702E-2</v>
      </c>
      <c r="L181" s="161"/>
      <c r="M181" s="161"/>
      <c r="N181" s="1500" t="s">
        <v>1519</v>
      </c>
      <c r="O181" s="1412">
        <f>W156*44/28</f>
        <v>302.38061220340541</v>
      </c>
      <c r="P181" s="161"/>
      <c r="Q181" s="1414">
        <f t="shared" ref="Q181:Q183" si="89">O181*$Z$8*12/44*10^-6</f>
        <v>2.2513611035871729E-2</v>
      </c>
      <c r="R181" s="161"/>
      <c r="S181" s="1414">
        <f t="shared" ref="S181:S183" si="90">Q181/(12/44)</f>
        <v>8.2549907131529682E-2</v>
      </c>
      <c r="T181" s="161"/>
      <c r="U181" s="161"/>
      <c r="V181" s="161"/>
      <c r="W181" s="161"/>
      <c r="X181" s="161"/>
      <c r="Y181" s="161"/>
      <c r="Z181" s="161"/>
      <c r="AA181" s="161"/>
      <c r="AB181" s="161"/>
      <c r="AC181" s="161"/>
      <c r="AD181" s="161"/>
      <c r="AE181" s="161"/>
      <c r="AF181" s="161"/>
      <c r="AG181" s="161"/>
      <c r="AH181" s="161"/>
      <c r="AI181" s="161"/>
      <c r="AJ181" s="161"/>
      <c r="AK181" s="161"/>
      <c r="AL181" s="161"/>
      <c r="AM181" s="161"/>
      <c r="AN181" s="161"/>
      <c r="AO181" s="161"/>
      <c r="AP181" s="161"/>
      <c r="AQ181" s="161"/>
      <c r="AR181" s="161"/>
      <c r="AS181" s="161"/>
      <c r="AT181" s="161"/>
      <c r="AU181" s="161"/>
      <c r="AV181" s="161"/>
      <c r="AW181" s="161"/>
      <c r="AX181" s="161"/>
      <c r="AY181" s="161"/>
      <c r="AZ181" s="161"/>
      <c r="BA181" s="161"/>
      <c r="BB181" s="161"/>
      <c r="BC181" s="161"/>
      <c r="BD181" s="161"/>
      <c r="BE181" s="161"/>
      <c r="BF181" s="161"/>
      <c r="BG181" s="161"/>
      <c r="BH181" s="161"/>
      <c r="BI181" s="161"/>
      <c r="BJ181" s="161"/>
      <c r="BK181" s="161"/>
      <c r="BL181" s="161"/>
      <c r="BM181" s="161"/>
      <c r="BN181" s="161"/>
      <c r="BO181" s="161"/>
      <c r="BP181" s="161"/>
      <c r="BQ181" s="161"/>
      <c r="BR181" s="161"/>
      <c r="BS181" s="161"/>
      <c r="BT181" s="161"/>
      <c r="BU181" s="161"/>
      <c r="BV181" s="161"/>
      <c r="BW181" s="161"/>
      <c r="BX181" s="161"/>
      <c r="BY181" s="161"/>
      <c r="BZ181" s="161"/>
      <c r="CA181" s="161"/>
      <c r="CB181" s="161"/>
      <c r="CC181" s="161"/>
    </row>
    <row r="182" spans="1:81" ht="13.5" customHeight="1" x14ac:dyDescent="0.25">
      <c r="A182" s="161"/>
      <c r="B182" s="1428"/>
      <c r="C182" s="161"/>
      <c r="D182" s="161"/>
      <c r="E182" s="1490" t="s">
        <v>1522</v>
      </c>
      <c r="F182" s="663"/>
      <c r="G182" s="1501">
        <f>(U177+S177)*44/28</f>
        <v>754.31665713245491</v>
      </c>
      <c r="H182" s="161"/>
      <c r="I182" s="1414">
        <f t="shared" si="87"/>
        <v>5.6162303835589136E-2</v>
      </c>
      <c r="J182" s="161"/>
      <c r="K182" s="1502">
        <f t="shared" si="88"/>
        <v>0.20592844739716018</v>
      </c>
      <c r="L182" s="161"/>
      <c r="M182" s="161"/>
      <c r="N182" s="1490" t="s">
        <v>1523</v>
      </c>
      <c r="O182" s="1503">
        <f>SUM(W151)*0.0075*44/28</f>
        <v>163.00187683808937</v>
      </c>
      <c r="P182" s="161"/>
      <c r="Q182" s="1503">
        <f t="shared" si="89"/>
        <v>1.2136230648217745E-2</v>
      </c>
      <c r="R182" s="161"/>
      <c r="S182" s="1503">
        <f t="shared" si="90"/>
        <v>4.4499512376798403E-2</v>
      </c>
      <c r="T182" s="161"/>
      <c r="U182" s="161"/>
      <c r="V182" s="161"/>
      <c r="W182" s="161"/>
      <c r="X182" s="161"/>
      <c r="Y182" s="161"/>
      <c r="Z182" s="161"/>
      <c r="AA182" s="161"/>
      <c r="AB182" s="161"/>
      <c r="AC182" s="161"/>
      <c r="AD182" s="161"/>
      <c r="AE182" s="161"/>
      <c r="AF182" s="161"/>
      <c r="AG182" s="161"/>
      <c r="AH182" s="161"/>
      <c r="AI182" s="161"/>
      <c r="AJ182" s="161"/>
      <c r="AK182" s="161"/>
      <c r="AL182" s="161"/>
      <c r="AM182" s="161"/>
      <c r="AN182" s="161"/>
      <c r="AO182" s="161"/>
      <c r="AP182" s="161"/>
      <c r="AQ182" s="161"/>
      <c r="AR182" s="161"/>
      <c r="AS182" s="161"/>
      <c r="AT182" s="161"/>
      <c r="AU182" s="161"/>
      <c r="AV182" s="161"/>
      <c r="AW182" s="161"/>
      <c r="AX182" s="161"/>
      <c r="AY182" s="161"/>
      <c r="AZ182" s="161"/>
      <c r="BA182" s="161"/>
      <c r="BB182" s="161"/>
      <c r="BC182" s="161"/>
      <c r="BD182" s="161"/>
      <c r="BE182" s="161"/>
      <c r="BF182" s="161"/>
      <c r="BG182" s="161"/>
      <c r="BH182" s="161"/>
      <c r="BI182" s="161"/>
      <c r="BJ182" s="161"/>
      <c r="BK182" s="161"/>
      <c r="BL182" s="161"/>
      <c r="BM182" s="161"/>
      <c r="BN182" s="161"/>
      <c r="BO182" s="161"/>
      <c r="BP182" s="161"/>
      <c r="BQ182" s="161"/>
      <c r="BR182" s="161"/>
      <c r="BS182" s="161"/>
      <c r="BT182" s="161"/>
      <c r="BU182" s="161"/>
      <c r="BV182" s="161"/>
      <c r="BW182" s="161"/>
      <c r="BX182" s="161"/>
      <c r="BY182" s="161"/>
      <c r="BZ182" s="161"/>
      <c r="CA182" s="161"/>
      <c r="CB182" s="161"/>
      <c r="CC182" s="161"/>
    </row>
    <row r="183" spans="1:81" ht="13.5" customHeight="1" x14ac:dyDescent="0.25">
      <c r="A183" s="161"/>
      <c r="B183" s="1428"/>
      <c r="C183" s="161"/>
      <c r="D183" s="161"/>
      <c r="E183" s="1490" t="s">
        <v>1524</v>
      </c>
      <c r="F183" s="663"/>
      <c r="G183" s="1504">
        <f>U177*44/28</f>
        <v>297.87019267900484</v>
      </c>
      <c r="H183" s="161"/>
      <c r="I183" s="1414">
        <f t="shared" si="87"/>
        <v>2.2177789800373177E-2</v>
      </c>
      <c r="J183" s="161"/>
      <c r="K183" s="1502">
        <f t="shared" si="88"/>
        <v>8.1318562601368327E-2</v>
      </c>
      <c r="L183" s="161"/>
      <c r="M183" s="161"/>
      <c r="N183" s="1490" t="s">
        <v>1525</v>
      </c>
      <c r="O183" s="1425">
        <f>SUM(W154)*0.0075*44/28</f>
        <v>139.37873536531609</v>
      </c>
      <c r="P183" s="161"/>
      <c r="Q183" s="1425">
        <f t="shared" si="89"/>
        <v>1.0377380387653987E-2</v>
      </c>
      <c r="R183" s="161"/>
      <c r="S183" s="1425">
        <f t="shared" si="90"/>
        <v>3.8050394754731293E-2</v>
      </c>
      <c r="T183" s="161"/>
      <c r="U183" s="161"/>
      <c r="V183" s="161"/>
      <c r="W183" s="161"/>
      <c r="X183" s="161"/>
      <c r="Y183" s="161"/>
      <c r="Z183" s="161"/>
      <c r="AA183" s="161"/>
      <c r="AB183" s="161"/>
      <c r="AC183" s="161"/>
      <c r="AD183" s="161"/>
      <c r="AE183" s="161"/>
      <c r="AF183" s="161"/>
      <c r="AG183" s="161"/>
      <c r="AH183" s="161"/>
      <c r="AI183" s="161"/>
      <c r="AJ183" s="161"/>
      <c r="AK183" s="161"/>
      <c r="AL183" s="161"/>
      <c r="AM183" s="161"/>
      <c r="AN183" s="161"/>
      <c r="AO183" s="161"/>
      <c r="AP183" s="161"/>
      <c r="AQ183" s="161"/>
      <c r="AR183" s="161"/>
      <c r="AS183" s="161"/>
      <c r="AT183" s="161"/>
      <c r="AU183" s="161"/>
      <c r="AV183" s="161"/>
      <c r="AW183" s="161"/>
      <c r="AX183" s="161"/>
      <c r="AY183" s="161"/>
      <c r="AZ183" s="161"/>
      <c r="BA183" s="161"/>
      <c r="BB183" s="161"/>
      <c r="BC183" s="161"/>
      <c r="BD183" s="161"/>
      <c r="BE183" s="161"/>
      <c r="BF183" s="161"/>
      <c r="BG183" s="161"/>
      <c r="BH183" s="161"/>
      <c r="BI183" s="161"/>
      <c r="BJ183" s="161"/>
      <c r="BK183" s="161"/>
      <c r="BL183" s="161"/>
      <c r="BM183" s="161"/>
      <c r="BN183" s="161"/>
      <c r="BO183" s="161"/>
      <c r="BP183" s="161"/>
      <c r="BQ183" s="161"/>
      <c r="BR183" s="161"/>
      <c r="BS183" s="161"/>
      <c r="BT183" s="161"/>
      <c r="BU183" s="161"/>
      <c r="BV183" s="161"/>
      <c r="BW183" s="161"/>
      <c r="BX183" s="161"/>
      <c r="BY183" s="161"/>
      <c r="BZ183" s="161"/>
      <c r="CA183" s="161"/>
      <c r="CB183" s="161"/>
      <c r="CC183" s="161"/>
    </row>
    <row r="184" spans="1:81" ht="12" customHeight="1" x14ac:dyDescent="0.2">
      <c r="A184" s="161"/>
      <c r="B184" s="1401"/>
      <c r="C184" s="1833" t="s">
        <v>1526</v>
      </c>
      <c r="D184" s="1766"/>
      <c r="E184" s="1766"/>
      <c r="F184" s="663"/>
      <c r="G184" s="1505">
        <f>SUM(G182:G183)</f>
        <v>1052.1868498114598</v>
      </c>
      <c r="H184" s="161"/>
      <c r="I184" s="1414">
        <f t="shared" si="87"/>
        <v>7.8340093635962324E-2</v>
      </c>
      <c r="J184" s="663"/>
      <c r="K184" s="1414">
        <f t="shared" si="88"/>
        <v>0.28724700999852854</v>
      </c>
      <c r="L184" s="161"/>
      <c r="M184" s="663"/>
      <c r="N184" s="161"/>
      <c r="O184" s="161"/>
      <c r="P184" s="663"/>
      <c r="Q184" s="663"/>
      <c r="R184" s="161"/>
      <c r="S184" s="161"/>
      <c r="T184" s="161"/>
      <c r="U184" s="161"/>
      <c r="V184" s="161"/>
      <c r="W184" s="161"/>
      <c r="X184" s="161"/>
      <c r="Y184" s="161"/>
      <c r="Z184" s="161"/>
      <c r="AA184" s="161"/>
      <c r="AB184" s="161"/>
      <c r="AC184" s="161"/>
      <c r="AD184" s="161"/>
      <c r="AE184" s="161"/>
      <c r="AF184" s="161"/>
      <c r="AG184" s="161"/>
      <c r="AH184" s="161"/>
      <c r="AI184" s="161"/>
      <c r="AJ184" s="161"/>
      <c r="AK184" s="161"/>
      <c r="AL184" s="161"/>
      <c r="AM184" s="161"/>
      <c r="AN184" s="161"/>
      <c r="AO184" s="161"/>
      <c r="AP184" s="161"/>
      <c r="AQ184" s="161"/>
      <c r="AR184" s="161"/>
      <c r="AS184" s="161"/>
      <c r="AT184" s="161"/>
      <c r="AU184" s="161"/>
      <c r="AV184" s="161"/>
      <c r="AW184" s="161"/>
      <c r="AX184" s="161"/>
      <c r="AY184" s="161"/>
      <c r="AZ184" s="161"/>
      <c r="BA184" s="161"/>
      <c r="BB184" s="161"/>
      <c r="BC184" s="161"/>
      <c r="BD184" s="161"/>
      <c r="BE184" s="161"/>
      <c r="BF184" s="161"/>
      <c r="BG184" s="161"/>
      <c r="BH184" s="161"/>
      <c r="BI184" s="161"/>
      <c r="BJ184" s="161"/>
      <c r="BK184" s="161"/>
      <c r="BL184" s="161"/>
      <c r="BM184" s="161"/>
      <c r="BN184" s="161"/>
      <c r="BO184" s="161"/>
      <c r="BP184" s="161"/>
      <c r="BQ184" s="161"/>
      <c r="BR184" s="161"/>
      <c r="BS184" s="161"/>
      <c r="BT184" s="161"/>
      <c r="BU184" s="161"/>
      <c r="BV184" s="161"/>
      <c r="BW184" s="161"/>
      <c r="BX184" s="161"/>
      <c r="BY184" s="161"/>
      <c r="BZ184" s="161"/>
      <c r="CA184" s="161"/>
      <c r="CB184" s="161"/>
      <c r="CC184" s="161"/>
    </row>
    <row r="185" spans="1:81" ht="12" customHeight="1" x14ac:dyDescent="0.2">
      <c r="A185" s="74"/>
      <c r="B185" s="1061"/>
      <c r="C185" s="1062"/>
      <c r="D185" s="1063"/>
      <c r="E185" s="1063"/>
      <c r="F185" s="1063"/>
      <c r="G185" s="1064"/>
      <c r="H185" s="1065"/>
      <c r="I185" s="1066"/>
      <c r="J185" s="1065"/>
      <c r="K185" s="1067"/>
      <c r="L185" s="74"/>
      <c r="M185" s="1067"/>
      <c r="N185" s="74"/>
      <c r="O185" s="74"/>
      <c r="P185" s="74"/>
      <c r="Q185" s="74"/>
      <c r="R185" s="74"/>
      <c r="S185" s="74"/>
      <c r="T185" s="74"/>
      <c r="U185" s="74"/>
    </row>
    <row r="186" spans="1:81" ht="21" customHeight="1" x14ac:dyDescent="0.4">
      <c r="B186" s="1506" t="s">
        <v>1527</v>
      </c>
      <c r="C186" s="1068"/>
      <c r="D186" s="1069"/>
      <c r="E186" s="1069"/>
      <c r="F186" s="1069"/>
      <c r="G186" s="1446"/>
      <c r="H186" s="297"/>
      <c r="I186" s="1071"/>
      <c r="J186" s="297"/>
      <c r="K186" s="1072"/>
      <c r="M186" s="1072"/>
      <c r="AH186" s="1233" t="s">
        <v>1430</v>
      </c>
    </row>
    <row r="187" spans="1:81" ht="36.75" customHeight="1" x14ac:dyDescent="0.25">
      <c r="A187" s="1507"/>
      <c r="B187" s="652" t="s">
        <v>1528</v>
      </c>
      <c r="C187" s="1413" t="s">
        <v>42</v>
      </c>
      <c r="D187" s="161"/>
      <c r="E187" s="653" t="s">
        <v>1529</v>
      </c>
      <c r="F187" s="653"/>
      <c r="G187" s="653" t="s">
        <v>1530</v>
      </c>
      <c r="H187" s="161"/>
      <c r="I187" s="653" t="s">
        <v>1531</v>
      </c>
      <c r="J187" s="653"/>
      <c r="K187" s="653" t="s">
        <v>1532</v>
      </c>
      <c r="L187" s="656"/>
      <c r="M187" s="653" t="s">
        <v>1533</v>
      </c>
      <c r="N187" s="656"/>
      <c r="O187" s="653" t="s">
        <v>1534</v>
      </c>
      <c r="P187" s="656"/>
      <c r="Q187" s="653" t="s">
        <v>1535</v>
      </c>
      <c r="R187" s="161"/>
      <c r="S187" s="653" t="s">
        <v>1536</v>
      </c>
      <c r="T187" s="161"/>
      <c r="U187" s="1439" t="s">
        <v>1537</v>
      </c>
      <c r="V187" s="161"/>
      <c r="W187" s="1439" t="s">
        <v>1538</v>
      </c>
      <c r="X187" s="161"/>
      <c r="Y187" s="653" t="s">
        <v>1539</v>
      </c>
      <c r="Z187" s="161"/>
      <c r="AA187" s="653" t="s">
        <v>1540</v>
      </c>
      <c r="AB187" s="656"/>
      <c r="AC187" s="653" t="s">
        <v>1541</v>
      </c>
      <c r="AD187" s="161"/>
      <c r="AE187" s="161"/>
      <c r="AF187" s="161"/>
      <c r="AG187" s="161"/>
      <c r="AH187" s="161"/>
      <c r="AI187" s="161"/>
      <c r="AJ187" s="161"/>
      <c r="AK187" s="161"/>
      <c r="AL187" s="161"/>
      <c r="AM187" s="161"/>
      <c r="AN187" s="161"/>
      <c r="AO187" s="161"/>
      <c r="AP187" s="161"/>
      <c r="AQ187" s="161"/>
      <c r="AR187" s="161"/>
      <c r="AS187" s="161"/>
      <c r="AT187" s="161"/>
      <c r="AU187" s="161"/>
      <c r="AV187" s="161"/>
      <c r="AW187" s="161"/>
      <c r="AX187" s="161"/>
      <c r="AY187" s="161"/>
      <c r="AZ187" s="161"/>
      <c r="BA187" s="161"/>
      <c r="BB187" s="161"/>
      <c r="BC187" s="161"/>
      <c r="BD187" s="161"/>
      <c r="BE187" s="161"/>
      <c r="BF187" s="161"/>
      <c r="BG187" s="161"/>
      <c r="BH187" s="161"/>
      <c r="BI187" s="161"/>
      <c r="BJ187" s="161"/>
      <c r="BK187" s="161"/>
      <c r="BL187" s="161"/>
      <c r="BM187" s="161"/>
      <c r="BN187" s="161"/>
      <c r="BO187" s="161"/>
      <c r="BP187" s="161"/>
      <c r="BQ187" s="161"/>
      <c r="BR187" s="161"/>
      <c r="BS187" s="161"/>
      <c r="BT187" s="161"/>
      <c r="BU187" s="161"/>
      <c r="BV187" s="161"/>
      <c r="BW187" s="161"/>
      <c r="BX187" s="161"/>
      <c r="BY187" s="161"/>
      <c r="BZ187" s="161"/>
      <c r="CA187" s="161"/>
      <c r="CB187" s="161"/>
      <c r="CC187" s="161"/>
    </row>
    <row r="188" spans="1:81" ht="11.25" customHeight="1" x14ac:dyDescent="0.2">
      <c r="A188" s="1507"/>
      <c r="B188" s="161"/>
      <c r="C188" s="161"/>
      <c r="D188" s="161"/>
      <c r="E188" s="663"/>
      <c r="F188" s="663"/>
      <c r="G188" s="161"/>
      <c r="H188" s="161"/>
      <c r="I188" s="161"/>
      <c r="J188" s="161"/>
      <c r="K188" s="161"/>
      <c r="L188" s="161"/>
      <c r="M188" s="988"/>
      <c r="N188" s="161"/>
      <c r="O188" s="161"/>
      <c r="P188" s="161"/>
      <c r="Q188" s="161"/>
      <c r="R188" s="161"/>
      <c r="S188" s="161"/>
      <c r="T188" s="161"/>
      <c r="U188" s="1394"/>
      <c r="V188" s="161"/>
      <c r="W188" s="1394"/>
      <c r="X188" s="161"/>
      <c r="Y188" s="161"/>
      <c r="Z188" s="161"/>
      <c r="AA188" s="161"/>
      <c r="AB188" s="161"/>
      <c r="AC188" s="161"/>
      <c r="AD188" s="161"/>
      <c r="AE188" s="161"/>
      <c r="AF188" s="161"/>
      <c r="AG188" s="161"/>
      <c r="AH188" s="161"/>
      <c r="AI188" s="161"/>
      <c r="AJ188" s="161"/>
      <c r="AK188" s="161"/>
      <c r="AL188" s="161"/>
      <c r="AM188" s="161"/>
      <c r="AN188" s="161"/>
      <c r="AO188" s="161"/>
      <c r="AP188" s="161"/>
      <c r="AQ188" s="161"/>
      <c r="AR188" s="161"/>
      <c r="AS188" s="161"/>
      <c r="AT188" s="161"/>
      <c r="AU188" s="161"/>
      <c r="AV188" s="161"/>
      <c r="AW188" s="161"/>
      <c r="AX188" s="161"/>
      <c r="AY188" s="161"/>
      <c r="AZ188" s="161"/>
      <c r="BA188" s="161"/>
      <c r="BB188" s="161"/>
      <c r="BC188" s="161"/>
      <c r="BD188" s="161"/>
      <c r="BE188" s="161"/>
      <c r="BF188" s="161"/>
      <c r="BG188" s="161"/>
      <c r="BH188" s="161"/>
      <c r="BI188" s="161"/>
      <c r="BJ188" s="161"/>
      <c r="BK188" s="161"/>
      <c r="BL188" s="161"/>
      <c r="BM188" s="161"/>
      <c r="BN188" s="161"/>
      <c r="BO188" s="161"/>
      <c r="BP188" s="161"/>
      <c r="BQ188" s="161"/>
      <c r="BR188" s="161"/>
      <c r="BS188" s="161"/>
      <c r="BT188" s="161"/>
      <c r="BU188" s="161"/>
      <c r="BV188" s="161"/>
      <c r="BW188" s="161"/>
      <c r="BX188" s="161"/>
      <c r="BY188" s="161"/>
      <c r="BZ188" s="161"/>
      <c r="CA188" s="161"/>
      <c r="CB188" s="161"/>
      <c r="CC188" s="161"/>
    </row>
    <row r="189" spans="1:81" ht="11.25" customHeight="1" x14ac:dyDescent="0.2">
      <c r="A189" s="1507"/>
      <c r="B189" s="1428" t="s">
        <v>1542</v>
      </c>
      <c r="C189" s="161" t="s">
        <v>1267</v>
      </c>
      <c r="D189" s="161"/>
      <c r="E189" s="1508">
        <v>2784</v>
      </c>
      <c r="F189" s="663" t="s">
        <v>740</v>
      </c>
      <c r="G189" s="161">
        <v>2.1772E-2</v>
      </c>
      <c r="H189" s="161"/>
      <c r="I189" s="1425">
        <f t="shared" ref="I189:I190" si="91">E189*G189*1000</f>
        <v>60613.248</v>
      </c>
      <c r="J189" s="663" t="s">
        <v>755</v>
      </c>
      <c r="K189" s="1509">
        <v>1.2</v>
      </c>
      <c r="L189" s="663" t="s">
        <v>755</v>
      </c>
      <c r="M189" s="1510">
        <v>0.03</v>
      </c>
      <c r="N189" s="663" t="s">
        <v>755</v>
      </c>
      <c r="O189" s="1417">
        <v>0.93</v>
      </c>
      <c r="P189" s="663" t="s">
        <v>755</v>
      </c>
      <c r="Q189" s="1511">
        <v>0.93</v>
      </c>
      <c r="R189" s="663" t="s">
        <v>755</v>
      </c>
      <c r="S189" s="1511">
        <v>0.88</v>
      </c>
      <c r="T189" s="663" t="s">
        <v>740</v>
      </c>
      <c r="U189" s="1512">
        <v>0.44850000000000001</v>
      </c>
      <c r="V189" s="663" t="s">
        <v>740</v>
      </c>
      <c r="W189" s="1425">
        <f t="shared" ref="W189:W197" si="92">I189*K189*M189*O189*Q189*S189*U189</f>
        <v>744.87101326853542</v>
      </c>
      <c r="X189" s="663" t="s">
        <v>740</v>
      </c>
      <c r="Y189" s="1513">
        <v>4.9658067551235696</v>
      </c>
      <c r="Z189" s="1514" t="s">
        <v>740</v>
      </c>
      <c r="AA189" s="1515">
        <f t="shared" ref="AA189:AA197" si="93">Y189/(10^6)*$Z$7*12/44</f>
        <v>3.7785275036712973E-5</v>
      </c>
      <c r="AB189" s="1514" t="s">
        <v>740</v>
      </c>
      <c r="AC189" s="1515">
        <f t="shared" ref="AC189:AC197" si="94">AA189/(12/44)</f>
        <v>1.3854600846794759E-4</v>
      </c>
      <c r="AD189" s="161"/>
      <c r="AE189" s="161"/>
      <c r="AF189" s="161"/>
      <c r="AG189" s="161"/>
      <c r="AH189" s="161"/>
      <c r="AI189" s="161"/>
      <c r="AJ189" s="161"/>
      <c r="AK189" s="161"/>
      <c r="AL189" s="161"/>
      <c r="AM189" s="161"/>
      <c r="AN189" s="161"/>
      <c r="AO189" s="161"/>
      <c r="AP189" s="161"/>
      <c r="AQ189" s="161"/>
      <c r="AR189" s="161"/>
      <c r="AS189" s="161"/>
      <c r="AT189" s="161"/>
      <c r="AU189" s="161"/>
      <c r="AV189" s="161"/>
      <c r="AW189" s="161"/>
      <c r="AX189" s="161"/>
      <c r="AY189" s="161"/>
      <c r="AZ189" s="161"/>
      <c r="BA189" s="161"/>
      <c r="BB189" s="161"/>
      <c r="BC189" s="161"/>
      <c r="BD189" s="161"/>
      <c r="BE189" s="161"/>
      <c r="BF189" s="161"/>
      <c r="BG189" s="161"/>
      <c r="BH189" s="161"/>
      <c r="BI189" s="161"/>
      <c r="BJ189" s="161"/>
      <c r="BK189" s="161"/>
      <c r="BL189" s="161"/>
      <c r="BM189" s="161"/>
      <c r="BN189" s="161"/>
      <c r="BO189" s="161"/>
      <c r="BP189" s="161"/>
      <c r="BQ189" s="161"/>
      <c r="BR189" s="161"/>
      <c r="BS189" s="161"/>
      <c r="BT189" s="161"/>
      <c r="BU189" s="161"/>
      <c r="BV189" s="161"/>
      <c r="BW189" s="161"/>
      <c r="BX189" s="161"/>
      <c r="BY189" s="161"/>
      <c r="BZ189" s="161"/>
      <c r="CA189" s="161"/>
      <c r="CB189" s="161"/>
      <c r="CC189" s="161"/>
    </row>
    <row r="190" spans="1:81" ht="11.25" customHeight="1" x14ac:dyDescent="0.2">
      <c r="A190" s="1507"/>
      <c r="B190" s="1428" t="s">
        <v>1543</v>
      </c>
      <c r="C190" s="161" t="s">
        <v>1267</v>
      </c>
      <c r="D190" s="161"/>
      <c r="E190" s="1508">
        <v>60350</v>
      </c>
      <c r="F190" s="663" t="s">
        <v>740</v>
      </c>
      <c r="G190" s="161">
        <v>2.5401147108E-2</v>
      </c>
      <c r="H190" s="161"/>
      <c r="I190" s="1425">
        <f t="shared" si="91"/>
        <v>1532959.2279677999</v>
      </c>
      <c r="J190" s="663" t="s">
        <v>755</v>
      </c>
      <c r="K190" s="1509">
        <v>1</v>
      </c>
      <c r="L190" s="663" t="s">
        <v>755</v>
      </c>
      <c r="M190" s="1510">
        <v>0.03</v>
      </c>
      <c r="N190" s="663" t="s">
        <v>755</v>
      </c>
      <c r="O190" s="1417">
        <v>0.91</v>
      </c>
      <c r="P190" s="663" t="s">
        <v>755</v>
      </c>
      <c r="Q190" s="1511">
        <v>0.93</v>
      </c>
      <c r="R190" s="663" t="s">
        <v>755</v>
      </c>
      <c r="S190" s="1511">
        <v>0.88</v>
      </c>
      <c r="T190" s="663" t="s">
        <v>740</v>
      </c>
      <c r="U190" s="1512">
        <v>0.44779999999999998</v>
      </c>
      <c r="V190" s="663" t="s">
        <v>740</v>
      </c>
      <c r="W190" s="1425">
        <f t="shared" si="92"/>
        <v>15337.089823834229</v>
      </c>
      <c r="X190" s="663" t="s">
        <v>740</v>
      </c>
      <c r="Y190" s="1513">
        <v>102.24726549222818</v>
      </c>
      <c r="Z190" s="1514" t="s">
        <v>740</v>
      </c>
      <c r="AA190" s="1515">
        <f t="shared" si="93"/>
        <v>7.7800873833631804E-4</v>
      </c>
      <c r="AB190" s="1514" t="s">
        <v>740</v>
      </c>
      <c r="AC190" s="1515">
        <f t="shared" si="94"/>
        <v>2.8526987072331664E-3</v>
      </c>
      <c r="AD190" s="161"/>
      <c r="AE190" s="161"/>
      <c r="AF190" s="161"/>
      <c r="AG190" s="161"/>
      <c r="AH190" s="161"/>
      <c r="AI190" s="161"/>
      <c r="AJ190" s="161"/>
      <c r="AK190" s="161"/>
      <c r="AL190" s="161"/>
      <c r="AM190" s="161"/>
      <c r="AN190" s="161"/>
      <c r="AO190" s="161"/>
      <c r="AP190" s="161"/>
      <c r="AQ190" s="161"/>
      <c r="AR190" s="161"/>
      <c r="AS190" s="161"/>
      <c r="AT190" s="161"/>
      <c r="AU190" s="161"/>
      <c r="AV190" s="161"/>
      <c r="AW190" s="161"/>
      <c r="AX190" s="161"/>
      <c r="AY190" s="161"/>
      <c r="AZ190" s="161"/>
      <c r="BA190" s="161"/>
      <c r="BB190" s="161"/>
      <c r="BC190" s="161"/>
      <c r="BD190" s="161"/>
      <c r="BE190" s="161"/>
      <c r="BF190" s="161"/>
      <c r="BG190" s="161"/>
      <c r="BH190" s="161"/>
      <c r="BI190" s="161"/>
      <c r="BJ190" s="161"/>
      <c r="BK190" s="161"/>
      <c r="BL190" s="161"/>
      <c r="BM190" s="161"/>
      <c r="BN190" s="161"/>
      <c r="BO190" s="161"/>
      <c r="BP190" s="161"/>
      <c r="BQ190" s="161"/>
      <c r="BR190" s="161"/>
      <c r="BS190" s="161"/>
      <c r="BT190" s="161"/>
      <c r="BU190" s="161"/>
      <c r="BV190" s="161"/>
      <c r="BW190" s="161"/>
      <c r="BX190" s="161"/>
      <c r="BY190" s="161"/>
      <c r="BZ190" s="161"/>
      <c r="CA190" s="161"/>
      <c r="CB190" s="161"/>
      <c r="CC190" s="161"/>
    </row>
    <row r="191" spans="1:81" ht="11.25" customHeight="1" x14ac:dyDescent="0.2">
      <c r="A191" s="1507"/>
      <c r="B191" s="1428" t="s">
        <v>1323</v>
      </c>
      <c r="C191" s="161" t="s">
        <v>1544</v>
      </c>
      <c r="D191" s="161"/>
      <c r="E191" s="1508">
        <v>0</v>
      </c>
      <c r="F191" s="663" t="s">
        <v>740</v>
      </c>
      <c r="G191" s="161" t="s">
        <v>708</v>
      </c>
      <c r="H191" s="161"/>
      <c r="I191" s="1425">
        <f>(E191*1000/2000*0.9072)</f>
        <v>0</v>
      </c>
      <c r="J191" s="663" t="s">
        <v>755</v>
      </c>
      <c r="K191" s="1509">
        <v>1</v>
      </c>
      <c r="L191" s="663" t="s">
        <v>755</v>
      </c>
      <c r="M191" s="1510">
        <v>0.03</v>
      </c>
      <c r="N191" s="663" t="s">
        <v>755</v>
      </c>
      <c r="O191" s="1417">
        <v>0.86</v>
      </c>
      <c r="P191" s="663" t="s">
        <v>755</v>
      </c>
      <c r="Q191" s="1511">
        <v>0.93</v>
      </c>
      <c r="R191" s="663" t="s">
        <v>755</v>
      </c>
      <c r="S191" s="1511">
        <v>0.88</v>
      </c>
      <c r="T191" s="663" t="s">
        <v>740</v>
      </c>
      <c r="U191" s="1512">
        <v>0.45</v>
      </c>
      <c r="V191" s="663" t="s">
        <v>740</v>
      </c>
      <c r="W191" s="1425">
        <f t="shared" si="92"/>
        <v>0</v>
      </c>
      <c r="X191" s="663" t="s">
        <v>740</v>
      </c>
      <c r="Y191" s="1513">
        <v>0</v>
      </c>
      <c r="Z191" s="1514" t="s">
        <v>740</v>
      </c>
      <c r="AA191" s="1515">
        <f t="shared" si="93"/>
        <v>0</v>
      </c>
      <c r="AB191" s="1514" t="s">
        <v>740</v>
      </c>
      <c r="AC191" s="1515">
        <f t="shared" si="94"/>
        <v>0</v>
      </c>
      <c r="AD191" s="161"/>
      <c r="AE191" s="161"/>
      <c r="AF191" s="161"/>
      <c r="AG191" s="161"/>
      <c r="AH191" s="161"/>
      <c r="AI191" s="161"/>
      <c r="AJ191" s="161"/>
      <c r="AK191" s="161"/>
      <c r="AL191" s="161"/>
      <c r="AM191" s="161"/>
      <c r="AN191" s="161"/>
      <c r="AO191" s="161"/>
      <c r="AP191" s="161"/>
      <c r="AQ191" s="161"/>
      <c r="AR191" s="161"/>
      <c r="AS191" s="161"/>
      <c r="AT191" s="161"/>
      <c r="AU191" s="161"/>
      <c r="AV191" s="161"/>
      <c r="AW191" s="161"/>
      <c r="AX191" s="161"/>
      <c r="AY191" s="161"/>
      <c r="AZ191" s="161"/>
      <c r="BA191" s="161"/>
      <c r="BB191" s="161"/>
      <c r="BC191" s="161"/>
      <c r="BD191" s="161"/>
      <c r="BE191" s="161"/>
      <c r="BF191" s="161"/>
      <c r="BG191" s="161"/>
      <c r="BH191" s="161"/>
      <c r="BI191" s="161"/>
      <c r="BJ191" s="161"/>
      <c r="BK191" s="161"/>
      <c r="BL191" s="161"/>
      <c r="BM191" s="161"/>
      <c r="BN191" s="161"/>
      <c r="BO191" s="161"/>
      <c r="BP191" s="161"/>
      <c r="BQ191" s="161"/>
      <c r="BR191" s="161"/>
      <c r="BS191" s="161"/>
      <c r="BT191" s="161"/>
      <c r="BU191" s="161"/>
      <c r="BV191" s="161"/>
      <c r="BW191" s="161"/>
      <c r="BX191" s="161"/>
      <c r="BY191" s="161"/>
      <c r="BZ191" s="161"/>
      <c r="CA191" s="161"/>
      <c r="CB191" s="161"/>
      <c r="CC191" s="161"/>
    </row>
    <row r="192" spans="1:81" ht="11.25" customHeight="1" x14ac:dyDescent="0.2">
      <c r="A192" s="1507"/>
      <c r="B192" s="1428" t="s">
        <v>1305</v>
      </c>
      <c r="C192" s="161" t="s">
        <v>1545</v>
      </c>
      <c r="D192" s="161"/>
      <c r="E192" s="1508">
        <v>0</v>
      </c>
      <c r="F192" s="663" t="s">
        <v>740</v>
      </c>
      <c r="G192" s="161" t="s">
        <v>708</v>
      </c>
      <c r="H192" s="161"/>
      <c r="I192" s="1425">
        <v>0</v>
      </c>
      <c r="J192" s="663" t="s">
        <v>755</v>
      </c>
      <c r="K192" s="1509">
        <v>1.4</v>
      </c>
      <c r="L192" s="663" t="s">
        <v>755</v>
      </c>
      <c r="M192" s="1510">
        <v>0</v>
      </c>
      <c r="N192" s="663" t="s">
        <v>755</v>
      </c>
      <c r="O192" s="1417">
        <v>0.91</v>
      </c>
      <c r="P192" s="663" t="s">
        <v>755</v>
      </c>
      <c r="Q192" s="1511">
        <v>0.93</v>
      </c>
      <c r="R192" s="663" t="s">
        <v>755</v>
      </c>
      <c r="S192" s="1511">
        <v>0.88</v>
      </c>
      <c r="T192" s="663" t="s">
        <v>740</v>
      </c>
      <c r="U192" s="1512">
        <v>0.38059999999999999</v>
      </c>
      <c r="V192" s="663" t="s">
        <v>740</v>
      </c>
      <c r="W192" s="1425">
        <f t="shared" si="92"/>
        <v>0</v>
      </c>
      <c r="X192" s="663" t="s">
        <v>740</v>
      </c>
      <c r="Y192" s="1513">
        <v>0</v>
      </c>
      <c r="Z192" s="1514" t="s">
        <v>740</v>
      </c>
      <c r="AA192" s="1515">
        <f t="shared" si="93"/>
        <v>0</v>
      </c>
      <c r="AB192" s="1514" t="s">
        <v>740</v>
      </c>
      <c r="AC192" s="1515">
        <f t="shared" si="94"/>
        <v>0</v>
      </c>
      <c r="AD192" s="161"/>
      <c r="AE192" s="161"/>
      <c r="AF192" s="161"/>
      <c r="AG192" s="161"/>
      <c r="AH192" s="161"/>
      <c r="AI192" s="161"/>
      <c r="AJ192" s="161"/>
      <c r="AK192" s="161"/>
      <c r="AL192" s="161"/>
      <c r="AM192" s="161"/>
      <c r="AN192" s="161"/>
      <c r="AO192" s="161"/>
      <c r="AP192" s="161"/>
      <c r="AQ192" s="161"/>
      <c r="AR192" s="161"/>
      <c r="AS192" s="161"/>
      <c r="AT192" s="161"/>
      <c r="AU192" s="161"/>
      <c r="AV192" s="161"/>
      <c r="AW192" s="161"/>
      <c r="AX192" s="161"/>
      <c r="AY192" s="161"/>
      <c r="AZ192" s="161"/>
      <c r="BA192" s="161"/>
      <c r="BB192" s="161"/>
      <c r="BC192" s="161"/>
      <c r="BD192" s="161"/>
      <c r="BE192" s="161"/>
      <c r="BF192" s="161"/>
      <c r="BG192" s="161"/>
      <c r="BH192" s="161"/>
      <c r="BI192" s="161"/>
      <c r="BJ192" s="161"/>
      <c r="BK192" s="161"/>
      <c r="BL192" s="161"/>
      <c r="BM192" s="161"/>
      <c r="BN192" s="161"/>
      <c r="BO192" s="161"/>
      <c r="BP192" s="161"/>
      <c r="BQ192" s="161"/>
      <c r="BR192" s="161"/>
      <c r="BS192" s="161"/>
      <c r="BT192" s="161"/>
      <c r="BU192" s="161"/>
      <c r="BV192" s="161"/>
      <c r="BW192" s="161"/>
      <c r="BX192" s="161"/>
      <c r="BY192" s="161"/>
      <c r="BZ192" s="161"/>
      <c r="CA192" s="161"/>
      <c r="CB192" s="161"/>
      <c r="CC192" s="161"/>
    </row>
    <row r="193" spans="1:81" ht="11.25" customHeight="1" x14ac:dyDescent="0.2">
      <c r="A193" s="1507"/>
      <c r="B193" s="1428" t="s">
        <v>1546</v>
      </c>
      <c r="C193" s="161" t="s">
        <v>1267</v>
      </c>
      <c r="D193" s="161"/>
      <c r="E193" s="1508">
        <v>15810</v>
      </c>
      <c r="F193" s="663" t="s">
        <v>740</v>
      </c>
      <c r="G193" s="161">
        <v>2.7215692074999999E-2</v>
      </c>
      <c r="H193" s="161"/>
      <c r="I193" s="1425">
        <f>E193*G193*1000</f>
        <v>430280.09170575003</v>
      </c>
      <c r="J193" s="663" t="s">
        <v>755</v>
      </c>
      <c r="K193" s="1509">
        <v>2.1</v>
      </c>
      <c r="L193" s="663" t="s">
        <v>755</v>
      </c>
      <c r="M193" s="1510">
        <v>0.03</v>
      </c>
      <c r="N193" s="663" t="s">
        <v>755</v>
      </c>
      <c r="O193" s="1417">
        <v>0.87</v>
      </c>
      <c r="P193" s="663" t="s">
        <v>755</v>
      </c>
      <c r="Q193" s="1511">
        <v>0.93</v>
      </c>
      <c r="R193" s="663" t="s">
        <v>755</v>
      </c>
      <c r="S193" s="1511">
        <v>0.88</v>
      </c>
      <c r="T193" s="663" t="s">
        <v>740</v>
      </c>
      <c r="U193" s="1512">
        <v>0.45</v>
      </c>
      <c r="V193" s="663" t="s">
        <v>740</v>
      </c>
      <c r="W193" s="1425">
        <f t="shared" si="92"/>
        <v>8685.3872946237061</v>
      </c>
      <c r="X193" s="663" t="s">
        <v>740</v>
      </c>
      <c r="Y193" s="1513">
        <v>57.902581964158038</v>
      </c>
      <c r="Z193" s="1514" t="s">
        <v>740</v>
      </c>
      <c r="AA193" s="1515">
        <f t="shared" si="93"/>
        <v>4.4058601003636613E-4</v>
      </c>
      <c r="AB193" s="1514" t="s">
        <v>740</v>
      </c>
      <c r="AC193" s="1515">
        <f t="shared" si="94"/>
        <v>1.6154820368000093E-3</v>
      </c>
      <c r="AD193" s="161"/>
      <c r="AE193" s="161"/>
      <c r="AF193" s="161"/>
      <c r="AG193" s="161"/>
      <c r="AH193" s="161"/>
      <c r="AI193" s="161"/>
      <c r="AJ193" s="161"/>
      <c r="AK193" s="161"/>
      <c r="AL193" s="161"/>
      <c r="AM193" s="161"/>
      <c r="AN193" s="161"/>
      <c r="AO193" s="161"/>
      <c r="AP193" s="161"/>
      <c r="AQ193" s="161"/>
      <c r="AR193" s="161"/>
      <c r="AS193" s="161"/>
      <c r="AT193" s="161"/>
      <c r="AU193" s="161"/>
      <c r="AV193" s="161"/>
      <c r="AW193" s="161"/>
      <c r="AX193" s="161"/>
      <c r="AY193" s="161"/>
      <c r="AZ193" s="161"/>
      <c r="BA193" s="161"/>
      <c r="BB193" s="161"/>
      <c r="BC193" s="161"/>
      <c r="BD193" s="161"/>
      <c r="BE193" s="161"/>
      <c r="BF193" s="161"/>
      <c r="BG193" s="161"/>
      <c r="BH193" s="161"/>
      <c r="BI193" s="161"/>
      <c r="BJ193" s="161"/>
      <c r="BK193" s="161"/>
      <c r="BL193" s="161"/>
      <c r="BM193" s="161"/>
      <c r="BN193" s="161"/>
      <c r="BO193" s="161"/>
      <c r="BP193" s="161"/>
      <c r="BQ193" s="161"/>
      <c r="BR193" s="161"/>
      <c r="BS193" s="161"/>
      <c r="BT193" s="161"/>
      <c r="BU193" s="161"/>
      <c r="BV193" s="161"/>
      <c r="BW193" s="161"/>
      <c r="BX193" s="161"/>
      <c r="BY193" s="161"/>
      <c r="BZ193" s="161"/>
      <c r="CA193" s="161"/>
      <c r="CB193" s="161"/>
      <c r="CC193" s="161"/>
    </row>
    <row r="194" spans="1:81" ht="11.25" customHeight="1" x14ac:dyDescent="0.2">
      <c r="A194" s="1507"/>
      <c r="B194" s="1428" t="s">
        <v>1547</v>
      </c>
      <c r="C194" s="161" t="s">
        <v>1251</v>
      </c>
      <c r="D194" s="161"/>
      <c r="E194" s="1508">
        <v>0</v>
      </c>
      <c r="F194" s="663" t="s">
        <v>740</v>
      </c>
      <c r="G194" s="161" t="s">
        <v>708</v>
      </c>
      <c r="H194" s="161"/>
      <c r="I194" s="1425">
        <f>E194*0.9072*1000</f>
        <v>0</v>
      </c>
      <c r="J194" s="663" t="s">
        <v>755</v>
      </c>
      <c r="K194" s="1509">
        <v>0.8</v>
      </c>
      <c r="L194" s="663" t="s">
        <v>755</v>
      </c>
      <c r="M194" s="1510">
        <v>0.03</v>
      </c>
      <c r="N194" s="663" t="s">
        <v>755</v>
      </c>
      <c r="O194" s="1417">
        <v>0.62</v>
      </c>
      <c r="P194" s="663" t="s">
        <v>755</v>
      </c>
      <c r="Q194" s="1511">
        <v>0.93</v>
      </c>
      <c r="R194" s="663" t="s">
        <v>755</v>
      </c>
      <c r="S194" s="1511">
        <v>0.88</v>
      </c>
      <c r="T194" s="663" t="s">
        <v>740</v>
      </c>
      <c r="U194" s="1512">
        <v>0.42349999999999999</v>
      </c>
      <c r="V194" s="663" t="s">
        <v>740</v>
      </c>
      <c r="W194" s="1425">
        <f t="shared" si="92"/>
        <v>0</v>
      </c>
      <c r="X194" s="663" t="s">
        <v>740</v>
      </c>
      <c r="Y194" s="1513">
        <v>0</v>
      </c>
      <c r="Z194" s="1514" t="s">
        <v>740</v>
      </c>
      <c r="AA194" s="1515">
        <f t="shared" si="93"/>
        <v>0</v>
      </c>
      <c r="AB194" s="1514" t="s">
        <v>740</v>
      </c>
      <c r="AC194" s="1515">
        <f t="shared" si="94"/>
        <v>0</v>
      </c>
      <c r="AD194" s="161"/>
      <c r="AE194" s="161"/>
      <c r="AF194" s="161"/>
      <c r="AG194" s="161"/>
      <c r="AH194" s="161"/>
      <c r="AI194" s="161"/>
      <c r="AJ194" s="161"/>
      <c r="AK194" s="161"/>
      <c r="AL194" s="161"/>
      <c r="AM194" s="161"/>
      <c r="AN194" s="161"/>
      <c r="AO194" s="161"/>
      <c r="AP194" s="161"/>
      <c r="AQ194" s="161"/>
      <c r="AR194" s="161"/>
      <c r="AS194" s="161"/>
      <c r="AT194" s="161"/>
      <c r="AU194" s="161"/>
      <c r="AV194" s="161"/>
      <c r="AW194" s="161"/>
      <c r="AX194" s="161"/>
      <c r="AY194" s="161"/>
      <c r="AZ194" s="161"/>
      <c r="BA194" s="161"/>
      <c r="BB194" s="161"/>
      <c r="BC194" s="161"/>
      <c r="BD194" s="161"/>
      <c r="BE194" s="161"/>
      <c r="BF194" s="161"/>
      <c r="BG194" s="161"/>
      <c r="BH194" s="161"/>
      <c r="BI194" s="161"/>
      <c r="BJ194" s="161"/>
      <c r="BK194" s="161"/>
      <c r="BL194" s="161"/>
      <c r="BM194" s="161"/>
      <c r="BN194" s="161"/>
      <c r="BO194" s="161"/>
      <c r="BP194" s="161"/>
      <c r="BQ194" s="161"/>
      <c r="BR194" s="161"/>
      <c r="BS194" s="161"/>
      <c r="BT194" s="161"/>
      <c r="BU194" s="161"/>
      <c r="BV194" s="161"/>
      <c r="BW194" s="161"/>
      <c r="BX194" s="161"/>
      <c r="BY194" s="161"/>
      <c r="BZ194" s="161"/>
      <c r="CA194" s="161"/>
      <c r="CB194" s="161"/>
      <c r="CC194" s="161"/>
    </row>
    <row r="195" spans="1:81" ht="11.25" customHeight="1" x14ac:dyDescent="0.2">
      <c r="A195" s="1507"/>
      <c r="B195" s="1428" t="s">
        <v>1548</v>
      </c>
      <c r="C195" s="161" t="s">
        <v>1267</v>
      </c>
      <c r="D195" s="161"/>
      <c r="E195" s="1508">
        <v>8500</v>
      </c>
      <c r="F195" s="663" t="s">
        <v>740</v>
      </c>
      <c r="G195" s="161">
        <v>2.7215442853E-2</v>
      </c>
      <c r="H195" s="161"/>
      <c r="I195" s="1425">
        <f>E195*G195*1000</f>
        <v>231331.26425050001</v>
      </c>
      <c r="J195" s="663" t="s">
        <v>755</v>
      </c>
      <c r="K195" s="1509">
        <v>1.3</v>
      </c>
      <c r="L195" s="663" t="s">
        <v>755</v>
      </c>
      <c r="M195" s="1510">
        <v>0.03</v>
      </c>
      <c r="N195" s="663" t="s">
        <v>755</v>
      </c>
      <c r="O195" s="1417">
        <v>0.93</v>
      </c>
      <c r="P195" s="663" t="s">
        <v>755</v>
      </c>
      <c r="Q195" s="1511">
        <v>0.93</v>
      </c>
      <c r="R195" s="663" t="s">
        <v>755</v>
      </c>
      <c r="S195" s="1511">
        <v>0.88</v>
      </c>
      <c r="T195" s="663" t="s">
        <v>740</v>
      </c>
      <c r="U195" s="1512">
        <v>0.44280000000000003</v>
      </c>
      <c r="V195" s="663" t="s">
        <v>740</v>
      </c>
      <c r="W195" s="1425">
        <f t="shared" si="92"/>
        <v>3040.5707954578766</v>
      </c>
      <c r="X195" s="663" t="s">
        <v>740</v>
      </c>
      <c r="Y195" s="1513">
        <v>20.270471969719175</v>
      </c>
      <c r="Z195" s="1514" t="s">
        <v>740</v>
      </c>
      <c r="AA195" s="1515">
        <f t="shared" si="93"/>
        <v>1.5423986398777225E-4</v>
      </c>
      <c r="AB195" s="1514" t="s">
        <v>740</v>
      </c>
      <c r="AC195" s="1515">
        <f t="shared" si="94"/>
        <v>5.6554616795516496E-4</v>
      </c>
      <c r="AD195" s="161"/>
      <c r="AE195" s="161"/>
      <c r="AF195" s="161"/>
      <c r="AG195" s="161"/>
      <c r="AH195" s="161"/>
      <c r="AI195" s="161"/>
      <c r="AJ195" s="161"/>
      <c r="AK195" s="161"/>
      <c r="AL195" s="161"/>
      <c r="AM195" s="161"/>
      <c r="AN195" s="161"/>
      <c r="AO195" s="161"/>
      <c r="AP195" s="161"/>
      <c r="AQ195" s="161"/>
      <c r="AR195" s="161"/>
      <c r="AS195" s="161"/>
      <c r="AT195" s="161"/>
      <c r="AU195" s="161"/>
      <c r="AV195" s="161"/>
      <c r="AW195" s="161"/>
      <c r="AX195" s="161"/>
      <c r="AY195" s="161"/>
      <c r="AZ195" s="161"/>
      <c r="BA195" s="161"/>
      <c r="BB195" s="161"/>
      <c r="BC195" s="161"/>
      <c r="BD195" s="161"/>
      <c r="BE195" s="161"/>
      <c r="BF195" s="161"/>
      <c r="BG195" s="161"/>
      <c r="BH195" s="161"/>
      <c r="BI195" s="161"/>
      <c r="BJ195" s="161"/>
      <c r="BK195" s="161"/>
      <c r="BL195" s="161"/>
      <c r="BM195" s="161"/>
      <c r="BN195" s="161"/>
      <c r="BO195" s="161"/>
      <c r="BP195" s="161"/>
      <c r="BQ195" s="161"/>
      <c r="BR195" s="161"/>
      <c r="BS195" s="161"/>
      <c r="BT195" s="161"/>
      <c r="BU195" s="161"/>
      <c r="BV195" s="161"/>
      <c r="BW195" s="161"/>
      <c r="BX195" s="161"/>
      <c r="BY195" s="161"/>
      <c r="BZ195" s="161"/>
      <c r="CA195" s="161"/>
      <c r="CB195" s="161"/>
      <c r="CC195" s="161"/>
    </row>
    <row r="196" spans="1:81" ht="11.25" customHeight="1" x14ac:dyDescent="0.2">
      <c r="A196" s="1507"/>
      <c r="B196" s="1428" t="s">
        <v>92</v>
      </c>
      <c r="C196" s="161" t="s">
        <v>1344</v>
      </c>
      <c r="D196" s="161"/>
      <c r="E196" s="1508"/>
      <c r="F196" s="663" t="s">
        <v>740</v>
      </c>
      <c r="G196" s="161" t="s">
        <v>708</v>
      </c>
      <c r="H196" s="161"/>
      <c r="I196" s="1425">
        <f t="shared" ref="I196:I197" si="95">E196</f>
        <v>0</v>
      </c>
      <c r="J196" s="663" t="s">
        <v>755</v>
      </c>
      <c r="K196" s="1516"/>
      <c r="L196" s="663" t="s">
        <v>755</v>
      </c>
      <c r="M196" s="1517"/>
      <c r="N196" s="663" t="s">
        <v>755</v>
      </c>
      <c r="O196" s="1518"/>
      <c r="P196" s="663" t="s">
        <v>755</v>
      </c>
      <c r="Q196" s="1519"/>
      <c r="R196" s="663" t="s">
        <v>755</v>
      </c>
      <c r="S196" s="1520"/>
      <c r="T196" s="663" t="s">
        <v>740</v>
      </c>
      <c r="U196" s="1521"/>
      <c r="V196" s="663" t="s">
        <v>740</v>
      </c>
      <c r="W196" s="1425">
        <f t="shared" si="92"/>
        <v>0</v>
      </c>
      <c r="X196" s="663" t="s">
        <v>740</v>
      </c>
      <c r="Y196" s="1513">
        <v>0</v>
      </c>
      <c r="Z196" s="1514" t="s">
        <v>740</v>
      </c>
      <c r="AA196" s="1515">
        <f t="shared" si="93"/>
        <v>0</v>
      </c>
      <c r="AB196" s="1514" t="s">
        <v>740</v>
      </c>
      <c r="AC196" s="1515">
        <f t="shared" si="94"/>
        <v>0</v>
      </c>
      <c r="AD196" s="161"/>
      <c r="AE196" s="161"/>
      <c r="AF196" s="161"/>
      <c r="AG196" s="161"/>
      <c r="AH196" s="161"/>
      <c r="AI196" s="161"/>
      <c r="AJ196" s="161"/>
      <c r="AK196" s="161"/>
      <c r="AL196" s="161"/>
      <c r="AM196" s="161"/>
      <c r="AN196" s="161"/>
      <c r="AO196" s="161"/>
      <c r="AP196" s="161"/>
      <c r="AQ196" s="161"/>
      <c r="AR196" s="161"/>
      <c r="AS196" s="161"/>
      <c r="AT196" s="161"/>
      <c r="AU196" s="161"/>
      <c r="AV196" s="161"/>
      <c r="AW196" s="161"/>
      <c r="AX196" s="161"/>
      <c r="AY196" s="161"/>
      <c r="AZ196" s="161"/>
      <c r="BA196" s="161"/>
      <c r="BB196" s="161"/>
      <c r="BC196" s="161"/>
      <c r="BD196" s="161"/>
      <c r="BE196" s="161"/>
      <c r="BF196" s="161"/>
      <c r="BG196" s="161"/>
      <c r="BH196" s="161"/>
      <c r="BI196" s="161"/>
      <c r="BJ196" s="161"/>
      <c r="BK196" s="161"/>
      <c r="BL196" s="161"/>
      <c r="BM196" s="161"/>
      <c r="BN196" s="161"/>
      <c r="BO196" s="161"/>
      <c r="BP196" s="161"/>
      <c r="BQ196" s="161"/>
      <c r="BR196" s="161"/>
      <c r="BS196" s="161"/>
      <c r="BT196" s="161"/>
      <c r="BU196" s="161"/>
      <c r="BV196" s="161"/>
      <c r="BW196" s="161"/>
      <c r="BX196" s="161"/>
      <c r="BY196" s="161"/>
      <c r="BZ196" s="161"/>
      <c r="CA196" s="161"/>
      <c r="CB196" s="161"/>
      <c r="CC196" s="161"/>
    </row>
    <row r="197" spans="1:81" ht="11.25" customHeight="1" x14ac:dyDescent="0.2">
      <c r="A197" s="1507"/>
      <c r="B197" s="1428" t="s">
        <v>1549</v>
      </c>
      <c r="C197" s="161" t="s">
        <v>1344</v>
      </c>
      <c r="D197" s="161"/>
      <c r="E197" s="1508"/>
      <c r="F197" s="663" t="s">
        <v>740</v>
      </c>
      <c r="G197" s="161" t="s">
        <v>708</v>
      </c>
      <c r="H197" s="161"/>
      <c r="I197" s="1425">
        <f t="shared" si="95"/>
        <v>0</v>
      </c>
      <c r="J197" s="663" t="s">
        <v>755</v>
      </c>
      <c r="K197" s="1516"/>
      <c r="L197" s="663" t="s">
        <v>755</v>
      </c>
      <c r="M197" s="1517"/>
      <c r="N197" s="663" t="s">
        <v>755</v>
      </c>
      <c r="O197" s="1518"/>
      <c r="P197" s="663" t="s">
        <v>755</v>
      </c>
      <c r="Q197" s="1519"/>
      <c r="R197" s="663" t="s">
        <v>755</v>
      </c>
      <c r="S197" s="1520"/>
      <c r="T197" s="663" t="s">
        <v>740</v>
      </c>
      <c r="U197" s="1521"/>
      <c r="V197" s="663" t="s">
        <v>740</v>
      </c>
      <c r="W197" s="1425">
        <f t="shared" si="92"/>
        <v>0</v>
      </c>
      <c r="X197" s="663" t="s">
        <v>740</v>
      </c>
      <c r="Y197" s="1513">
        <v>0</v>
      </c>
      <c r="Z197" s="1514" t="s">
        <v>740</v>
      </c>
      <c r="AA197" s="1515">
        <f t="shared" si="93"/>
        <v>0</v>
      </c>
      <c r="AB197" s="1514" t="s">
        <v>740</v>
      </c>
      <c r="AC197" s="1515">
        <f t="shared" si="94"/>
        <v>0</v>
      </c>
      <c r="AD197" s="161"/>
      <c r="AE197" s="161"/>
      <c r="AF197" s="161"/>
      <c r="AG197" s="161"/>
      <c r="AH197" s="161"/>
      <c r="AI197" s="161"/>
      <c r="AJ197" s="161"/>
      <c r="AK197" s="161"/>
      <c r="AL197" s="161"/>
      <c r="AM197" s="161"/>
      <c r="AN197" s="161"/>
      <c r="AO197" s="161"/>
      <c r="AP197" s="161"/>
      <c r="AQ197" s="161"/>
      <c r="AR197" s="161"/>
      <c r="AS197" s="161"/>
      <c r="AT197" s="161"/>
      <c r="AU197" s="161"/>
      <c r="AV197" s="161"/>
      <c r="AW197" s="161"/>
      <c r="AX197" s="161"/>
      <c r="AY197" s="161"/>
      <c r="AZ197" s="161"/>
      <c r="BA197" s="161"/>
      <c r="BB197" s="161"/>
      <c r="BC197" s="161"/>
      <c r="BD197" s="161"/>
      <c r="BE197" s="161"/>
      <c r="BF197" s="161"/>
      <c r="BG197" s="161"/>
      <c r="BH197" s="161"/>
      <c r="BI197" s="161"/>
      <c r="BJ197" s="161"/>
      <c r="BK197" s="161"/>
      <c r="BL197" s="161"/>
      <c r="BM197" s="161"/>
      <c r="BN197" s="161"/>
      <c r="BO197" s="161"/>
      <c r="BP197" s="161"/>
      <c r="BQ197" s="161"/>
      <c r="BR197" s="161"/>
      <c r="BS197" s="161"/>
      <c r="BT197" s="161"/>
      <c r="BU197" s="161"/>
      <c r="BV197" s="161"/>
      <c r="BW197" s="161"/>
      <c r="BX197" s="161"/>
      <c r="BY197" s="161"/>
      <c r="BZ197" s="161"/>
      <c r="CA197" s="161"/>
      <c r="CB197" s="161"/>
      <c r="CC197" s="161"/>
    </row>
    <row r="198" spans="1:81" ht="12" customHeight="1" x14ac:dyDescent="0.2">
      <c r="A198" s="1507"/>
      <c r="B198" s="656"/>
      <c r="C198" s="656"/>
      <c r="D198" s="161"/>
      <c r="E198" s="1421"/>
      <c r="F198" s="663"/>
      <c r="G198" s="161"/>
      <c r="H198" s="161"/>
      <c r="I198" s="1522"/>
      <c r="J198" s="663"/>
      <c r="K198" s="1394"/>
      <c r="L198" s="663"/>
      <c r="M198" s="1523"/>
      <c r="N198" s="663"/>
      <c r="O198" s="1524"/>
      <c r="P198" s="161"/>
      <c r="Q198" s="161"/>
      <c r="R198" s="161"/>
      <c r="S198" s="161"/>
      <c r="T198" s="161"/>
      <c r="U198" s="1394"/>
      <c r="V198" s="161"/>
      <c r="W198" s="1394"/>
      <c r="X198" s="161"/>
      <c r="Y198" s="161"/>
      <c r="Z198" s="161"/>
      <c r="AA198" s="161"/>
      <c r="AB198" s="161"/>
      <c r="AC198" s="161"/>
      <c r="AD198" s="161"/>
      <c r="AE198" s="161"/>
      <c r="AF198" s="161"/>
      <c r="AG198" s="161"/>
      <c r="AH198" s="161"/>
      <c r="AI198" s="161"/>
      <c r="AJ198" s="161"/>
      <c r="AK198" s="161"/>
      <c r="AL198" s="161"/>
      <c r="AM198" s="161"/>
      <c r="AN198" s="161"/>
      <c r="AO198" s="161"/>
      <c r="AP198" s="161"/>
      <c r="AQ198" s="161"/>
      <c r="AR198" s="161"/>
      <c r="AS198" s="161"/>
      <c r="AT198" s="161"/>
      <c r="AU198" s="161"/>
      <c r="AV198" s="161"/>
      <c r="AW198" s="161"/>
      <c r="AX198" s="161"/>
      <c r="AY198" s="161"/>
      <c r="AZ198" s="161"/>
      <c r="BA198" s="161"/>
      <c r="BB198" s="161"/>
      <c r="BC198" s="161"/>
      <c r="BD198" s="161"/>
      <c r="BE198" s="161"/>
      <c r="BF198" s="161"/>
      <c r="BG198" s="161"/>
      <c r="BH198" s="161"/>
      <c r="BI198" s="161"/>
      <c r="BJ198" s="161"/>
      <c r="BK198" s="161"/>
      <c r="BL198" s="161"/>
      <c r="BM198" s="161"/>
      <c r="BN198" s="161"/>
      <c r="BO198" s="161"/>
      <c r="BP198" s="161"/>
      <c r="BQ198" s="161"/>
      <c r="BR198" s="161"/>
      <c r="BS198" s="161"/>
      <c r="BT198" s="161"/>
      <c r="BU198" s="161"/>
      <c r="BV198" s="161"/>
      <c r="BW198" s="161"/>
      <c r="BX198" s="161"/>
      <c r="BY198" s="161"/>
      <c r="BZ198" s="161"/>
      <c r="CA198" s="161"/>
      <c r="CB198" s="161"/>
      <c r="CC198" s="161"/>
    </row>
    <row r="199" spans="1:81" ht="12" customHeight="1" x14ac:dyDescent="0.2">
      <c r="A199" s="1507"/>
      <c r="B199" s="656" t="s">
        <v>907</v>
      </c>
      <c r="C199" s="656"/>
      <c r="D199" s="161"/>
      <c r="E199" s="663"/>
      <c r="F199" s="663"/>
      <c r="G199" s="161"/>
      <c r="H199" s="161"/>
      <c r="I199" s="663"/>
      <c r="J199" s="663"/>
      <c r="K199" s="1525"/>
      <c r="L199" s="1413"/>
      <c r="M199" s="1525"/>
      <c r="N199" s="1413"/>
      <c r="O199" s="1526"/>
      <c r="P199" s="161"/>
      <c r="Q199" s="1526"/>
      <c r="R199" s="161"/>
      <c r="S199" s="1526"/>
      <c r="T199" s="161"/>
      <c r="U199" s="1525"/>
      <c r="V199" s="161"/>
      <c r="W199" s="1527">
        <f>SUM(W189:W197)</f>
        <v>27807.918927184346</v>
      </c>
      <c r="X199" s="161"/>
      <c r="Y199" s="1528">
        <f>SUM(Y189:Y197)</f>
        <v>185.38612618122897</v>
      </c>
      <c r="Z199" s="161"/>
      <c r="AA199" s="1528">
        <f>SUM(AA189:AA197)</f>
        <v>1.4106198873971693E-3</v>
      </c>
      <c r="AB199" s="161"/>
      <c r="AC199" s="1528">
        <f>SUM(AC189:AC197)</f>
        <v>5.1722729204562879E-3</v>
      </c>
      <c r="AD199" s="161"/>
      <c r="AE199" s="161"/>
      <c r="AF199" s="161"/>
      <c r="AG199" s="161"/>
      <c r="AH199" s="161"/>
      <c r="AI199" s="161"/>
      <c r="AJ199" s="161"/>
      <c r="AK199" s="161"/>
      <c r="AL199" s="161"/>
      <c r="AM199" s="161"/>
      <c r="AN199" s="161"/>
      <c r="AO199" s="161"/>
      <c r="AP199" s="161"/>
      <c r="AQ199" s="161"/>
      <c r="AR199" s="161"/>
      <c r="AS199" s="161"/>
      <c r="AT199" s="161"/>
      <c r="AU199" s="161"/>
      <c r="AV199" s="161"/>
      <c r="AW199" s="161"/>
      <c r="AX199" s="161"/>
      <c r="AY199" s="161"/>
      <c r="AZ199" s="161"/>
      <c r="BA199" s="161"/>
      <c r="BB199" s="161"/>
      <c r="BC199" s="161"/>
      <c r="BD199" s="161"/>
      <c r="BE199" s="161"/>
      <c r="BF199" s="161"/>
      <c r="BG199" s="161"/>
      <c r="BH199" s="161"/>
      <c r="BI199" s="161"/>
      <c r="BJ199" s="161"/>
      <c r="BK199" s="161"/>
      <c r="BL199" s="161"/>
      <c r="BM199" s="161"/>
      <c r="BN199" s="161"/>
      <c r="BO199" s="161"/>
      <c r="BP199" s="161"/>
      <c r="BQ199" s="161"/>
      <c r="BR199" s="161"/>
      <c r="BS199" s="161"/>
      <c r="BT199" s="161"/>
      <c r="BU199" s="161"/>
      <c r="BV199" s="161"/>
      <c r="BW199" s="161"/>
      <c r="BX199" s="161"/>
      <c r="BY199" s="161"/>
      <c r="BZ199" s="161"/>
      <c r="CA199" s="161"/>
      <c r="CB199" s="161"/>
      <c r="CC199" s="161"/>
    </row>
    <row r="200" spans="1:81" ht="12" customHeight="1" x14ac:dyDescent="0.2">
      <c r="A200" s="74"/>
      <c r="B200" s="1061"/>
      <c r="C200" s="1062"/>
      <c r="D200" s="1063"/>
      <c r="E200" s="1063"/>
      <c r="F200" s="1063"/>
      <c r="G200" s="1064"/>
      <c r="H200" s="1065"/>
      <c r="I200" s="1066"/>
      <c r="J200" s="1065"/>
      <c r="K200" s="1067"/>
      <c r="L200" s="74"/>
      <c r="M200" s="1067"/>
      <c r="N200" s="74"/>
      <c r="O200" s="74"/>
      <c r="P200" s="74"/>
      <c r="Q200" s="74"/>
      <c r="R200" s="74"/>
      <c r="S200" s="74"/>
      <c r="T200" s="74"/>
      <c r="U200" s="74"/>
    </row>
    <row r="201" spans="1:81" ht="21" customHeight="1" x14ac:dyDescent="0.4">
      <c r="B201" s="1506" t="s">
        <v>1550</v>
      </c>
      <c r="C201" s="1068"/>
      <c r="D201" s="1069"/>
      <c r="E201" s="1069"/>
      <c r="F201" s="1069"/>
      <c r="G201" s="1446"/>
      <c r="H201" s="297"/>
      <c r="I201" s="1071"/>
      <c r="J201" s="297"/>
      <c r="K201" s="1072"/>
      <c r="M201" s="1072"/>
      <c r="AH201" s="1233" t="s">
        <v>1430</v>
      </c>
    </row>
    <row r="202" spans="1:81" ht="36.75" customHeight="1" x14ac:dyDescent="0.25">
      <c r="A202" s="1507"/>
      <c r="B202" s="652" t="s">
        <v>1528</v>
      </c>
      <c r="C202" s="1413" t="s">
        <v>42</v>
      </c>
      <c r="D202" s="161"/>
      <c r="E202" s="653" t="s">
        <v>1529</v>
      </c>
      <c r="F202" s="653"/>
      <c r="G202" s="161" t="s">
        <v>1530</v>
      </c>
      <c r="H202" s="161"/>
      <c r="I202" s="653" t="s">
        <v>1531</v>
      </c>
      <c r="J202" s="653"/>
      <c r="K202" s="653" t="s">
        <v>1532</v>
      </c>
      <c r="L202" s="656"/>
      <c r="M202" s="653" t="s">
        <v>1551</v>
      </c>
      <c r="N202" s="656"/>
      <c r="O202" s="653" t="s">
        <v>1534</v>
      </c>
      <c r="P202" s="656"/>
      <c r="Q202" s="653" t="s">
        <v>1535</v>
      </c>
      <c r="R202" s="161"/>
      <c r="S202" s="653" t="s">
        <v>1536</v>
      </c>
      <c r="T202" s="161"/>
      <c r="U202" s="1439" t="s">
        <v>1552</v>
      </c>
      <c r="V202" s="161"/>
      <c r="W202" s="653" t="s">
        <v>1553</v>
      </c>
      <c r="X202" s="161"/>
      <c r="Y202" s="653" t="s">
        <v>1554</v>
      </c>
      <c r="Z202" s="161"/>
      <c r="AA202" s="653" t="s">
        <v>1555</v>
      </c>
      <c r="AB202" s="161"/>
      <c r="AC202" s="653" t="s">
        <v>1556</v>
      </c>
      <c r="AD202" s="161"/>
      <c r="AE202" s="161"/>
      <c r="AF202" s="161"/>
      <c r="AG202" s="161"/>
      <c r="AH202" s="161"/>
      <c r="AI202" s="161"/>
      <c r="AJ202" s="161"/>
      <c r="AK202" s="161"/>
      <c r="AL202" s="161"/>
      <c r="AM202" s="161"/>
      <c r="AN202" s="161"/>
      <c r="AO202" s="161"/>
      <c r="AP202" s="161"/>
      <c r="AQ202" s="161"/>
      <c r="AR202" s="161"/>
      <c r="AS202" s="161"/>
      <c r="AT202" s="161"/>
      <c r="AU202" s="161"/>
      <c r="AV202" s="161"/>
      <c r="AW202" s="161"/>
      <c r="AX202" s="161"/>
      <c r="AY202" s="161"/>
      <c r="AZ202" s="161"/>
      <c r="BA202" s="161"/>
      <c r="BB202" s="161"/>
      <c r="BC202" s="161"/>
      <c r="BD202" s="161"/>
      <c r="BE202" s="161"/>
      <c r="BF202" s="161"/>
      <c r="BG202" s="161"/>
      <c r="BH202" s="161"/>
      <c r="BI202" s="161"/>
      <c r="BJ202" s="161"/>
      <c r="BK202" s="161"/>
      <c r="BL202" s="161"/>
      <c r="BM202" s="161"/>
      <c r="BN202" s="161"/>
      <c r="BO202" s="161"/>
      <c r="BP202" s="161"/>
      <c r="BQ202" s="161"/>
      <c r="BR202" s="161"/>
      <c r="BS202" s="161"/>
      <c r="BT202" s="161"/>
      <c r="BU202" s="161"/>
      <c r="BV202" s="161"/>
      <c r="BW202" s="161"/>
      <c r="BX202" s="161"/>
      <c r="BY202" s="161"/>
      <c r="BZ202" s="161"/>
      <c r="CA202" s="161"/>
      <c r="CB202" s="161"/>
      <c r="CC202" s="161"/>
    </row>
    <row r="203" spans="1:81" ht="11.25" customHeight="1" x14ac:dyDescent="0.2">
      <c r="A203" s="1507"/>
      <c r="B203" s="161"/>
      <c r="C203" s="161"/>
      <c r="D203" s="161"/>
      <c r="E203" s="663"/>
      <c r="F203" s="663"/>
      <c r="G203" s="161"/>
      <c r="H203" s="161"/>
      <c r="I203" s="161"/>
      <c r="J203" s="161"/>
      <c r="K203" s="161"/>
      <c r="L203" s="161"/>
      <c r="M203" s="988"/>
      <c r="N203" s="161"/>
      <c r="O203" s="161"/>
      <c r="P203" s="161"/>
      <c r="Q203" s="161"/>
      <c r="R203" s="161"/>
      <c r="S203" s="161"/>
      <c r="T203" s="161"/>
      <c r="U203" s="1394"/>
      <c r="V203" s="161"/>
      <c r="W203" s="161"/>
      <c r="X203" s="161"/>
      <c r="Y203" s="161"/>
      <c r="Z203" s="161"/>
      <c r="AA203" s="161"/>
      <c r="AB203" s="161"/>
      <c r="AC203" s="161"/>
      <c r="AD203" s="161"/>
      <c r="AE203" s="161"/>
      <c r="AF203" s="161"/>
      <c r="AG203" s="161"/>
      <c r="AH203" s="161"/>
      <c r="AI203" s="161"/>
      <c r="AJ203" s="161"/>
      <c r="AK203" s="161"/>
      <c r="AL203" s="161"/>
      <c r="AM203" s="161"/>
      <c r="AN203" s="161"/>
      <c r="AO203" s="161"/>
      <c r="AP203" s="161"/>
      <c r="AQ203" s="161"/>
      <c r="AR203" s="161"/>
      <c r="AS203" s="161"/>
      <c r="AT203" s="161"/>
      <c r="AU203" s="161"/>
      <c r="AV203" s="161"/>
      <c r="AW203" s="161"/>
      <c r="AX203" s="161"/>
      <c r="AY203" s="161"/>
      <c r="AZ203" s="161"/>
      <c r="BA203" s="161"/>
      <c r="BB203" s="161"/>
      <c r="BC203" s="161"/>
      <c r="BD203" s="161"/>
      <c r="BE203" s="161"/>
      <c r="BF203" s="161"/>
      <c r="BG203" s="161"/>
      <c r="BH203" s="161"/>
      <c r="BI203" s="161"/>
      <c r="BJ203" s="161"/>
      <c r="BK203" s="161"/>
      <c r="BL203" s="161"/>
      <c r="BM203" s="161"/>
      <c r="BN203" s="161"/>
      <c r="BO203" s="161"/>
      <c r="BP203" s="161"/>
      <c r="BQ203" s="161"/>
      <c r="BR203" s="161"/>
      <c r="BS203" s="161"/>
      <c r="BT203" s="161"/>
      <c r="BU203" s="161"/>
      <c r="BV203" s="161"/>
      <c r="BW203" s="161"/>
      <c r="BX203" s="161"/>
      <c r="BY203" s="161"/>
      <c r="BZ203" s="161"/>
      <c r="CA203" s="161"/>
      <c r="CB203" s="161"/>
      <c r="CC203" s="161"/>
    </row>
    <row r="204" spans="1:81" ht="11.25" customHeight="1" x14ac:dyDescent="0.2">
      <c r="A204" s="1507"/>
      <c r="B204" s="1428" t="s">
        <v>1542</v>
      </c>
      <c r="C204" s="161" t="s">
        <v>1267</v>
      </c>
      <c r="D204" s="161"/>
      <c r="E204" s="1529">
        <v>2784</v>
      </c>
      <c r="F204" s="663" t="s">
        <v>740</v>
      </c>
      <c r="G204" s="161">
        <v>2.1772E-2</v>
      </c>
      <c r="H204" s="161"/>
      <c r="I204" s="1425">
        <f t="shared" ref="I204:I205" si="96">E204*G204*1000</f>
        <v>60613.248</v>
      </c>
      <c r="J204" s="663" t="s">
        <v>755</v>
      </c>
      <c r="K204" s="1509">
        <v>1.2</v>
      </c>
      <c r="L204" s="663" t="s">
        <v>755</v>
      </c>
      <c r="M204" s="1510">
        <v>0.03</v>
      </c>
      <c r="N204" s="663" t="s">
        <v>755</v>
      </c>
      <c r="O204" s="1417">
        <v>0.93</v>
      </c>
      <c r="P204" s="663" t="s">
        <v>755</v>
      </c>
      <c r="Q204" s="1511">
        <v>0.93</v>
      </c>
      <c r="R204" s="663" t="s">
        <v>755</v>
      </c>
      <c r="S204" s="1511">
        <v>0.88</v>
      </c>
      <c r="T204" s="663" t="s">
        <v>740</v>
      </c>
      <c r="U204" s="1512">
        <v>7.7000000000000002E-3</v>
      </c>
      <c r="V204" s="663" t="s">
        <v>740</v>
      </c>
      <c r="W204" s="1530">
        <f t="shared" ref="W204:W212" si="97">I204*K204*M204*O204*Q204*S204*U204</f>
        <v>12.788197998144309</v>
      </c>
      <c r="X204" s="663" t="s">
        <v>740</v>
      </c>
      <c r="Y204" s="1531">
        <v>0.14067017797958739</v>
      </c>
      <c r="Z204" s="663" t="s">
        <v>740</v>
      </c>
      <c r="AA204" s="1532">
        <f t="shared" ref="AA204:AA212" si="98">Y204/(10^6)*$Z$8*12/44</f>
        <v>1.0473534160480189E-5</v>
      </c>
      <c r="AB204" s="663" t="s">
        <v>740</v>
      </c>
      <c r="AC204" s="1532">
        <f t="shared" ref="AC204:AC212" si="99">AA204/(12/44)</f>
        <v>3.8402958588427361E-5</v>
      </c>
      <c r="AD204" s="161"/>
      <c r="AE204" s="161"/>
      <c r="AF204" s="161"/>
      <c r="AG204" s="161"/>
      <c r="AH204" s="161"/>
      <c r="AI204" s="161"/>
      <c r="AJ204" s="161"/>
      <c r="AK204" s="161"/>
      <c r="AL204" s="161"/>
      <c r="AM204" s="161"/>
      <c r="AN204" s="161"/>
      <c r="AO204" s="161"/>
      <c r="AP204" s="161"/>
      <c r="AQ204" s="161"/>
      <c r="AR204" s="161"/>
      <c r="AS204" s="161"/>
      <c r="AT204" s="161"/>
      <c r="AU204" s="161"/>
      <c r="AV204" s="161"/>
      <c r="AW204" s="161"/>
      <c r="AX204" s="161"/>
      <c r="AY204" s="161"/>
      <c r="AZ204" s="161"/>
      <c r="BA204" s="161"/>
      <c r="BB204" s="161"/>
      <c r="BC204" s="161"/>
      <c r="BD204" s="161"/>
      <c r="BE204" s="161"/>
      <c r="BF204" s="161"/>
      <c r="BG204" s="161"/>
      <c r="BH204" s="161"/>
      <c r="BI204" s="161"/>
      <c r="BJ204" s="161"/>
      <c r="BK204" s="161"/>
      <c r="BL204" s="161"/>
      <c r="BM204" s="161"/>
      <c r="BN204" s="161"/>
      <c r="BO204" s="161"/>
      <c r="BP204" s="161"/>
      <c r="BQ204" s="161"/>
      <c r="BR204" s="161"/>
      <c r="BS204" s="161"/>
      <c r="BT204" s="161"/>
      <c r="BU204" s="161"/>
      <c r="BV204" s="161"/>
      <c r="BW204" s="161"/>
      <c r="BX204" s="161"/>
      <c r="BY204" s="161"/>
      <c r="BZ204" s="161"/>
      <c r="CA204" s="161"/>
      <c r="CB204" s="161"/>
      <c r="CC204" s="161"/>
    </row>
    <row r="205" spans="1:81" ht="11.25" customHeight="1" x14ac:dyDescent="0.2">
      <c r="A205" s="1507"/>
      <c r="B205" s="1428" t="s">
        <v>1543</v>
      </c>
      <c r="C205" s="161" t="s">
        <v>1267</v>
      </c>
      <c r="D205" s="161"/>
      <c r="E205" s="1529">
        <v>60350</v>
      </c>
      <c r="F205" s="663" t="s">
        <v>740</v>
      </c>
      <c r="G205" s="161">
        <v>2.5401147108E-2</v>
      </c>
      <c r="H205" s="161"/>
      <c r="I205" s="1425">
        <f t="shared" si="96"/>
        <v>1532959.2279677999</v>
      </c>
      <c r="J205" s="663" t="s">
        <v>755</v>
      </c>
      <c r="K205" s="1509">
        <v>1</v>
      </c>
      <c r="L205" s="663" t="s">
        <v>755</v>
      </c>
      <c r="M205" s="1510">
        <v>0.03</v>
      </c>
      <c r="N205" s="663" t="s">
        <v>755</v>
      </c>
      <c r="O205" s="1417">
        <v>0.91</v>
      </c>
      <c r="P205" s="663" t="s">
        <v>755</v>
      </c>
      <c r="Q205" s="1511">
        <v>0.93</v>
      </c>
      <c r="R205" s="663" t="s">
        <v>755</v>
      </c>
      <c r="S205" s="1511">
        <v>0.88</v>
      </c>
      <c r="T205" s="663" t="s">
        <v>740</v>
      </c>
      <c r="U205" s="1512">
        <v>5.7999999999999996E-3</v>
      </c>
      <c r="V205" s="663" t="s">
        <v>740</v>
      </c>
      <c r="W205" s="1530">
        <f t="shared" si="97"/>
        <v>198.6492205856153</v>
      </c>
      <c r="X205" s="663" t="s">
        <v>740</v>
      </c>
      <c r="Y205" s="1531">
        <v>2.1851414264417683</v>
      </c>
      <c r="Z205" s="663" t="s">
        <v>740</v>
      </c>
      <c r="AA205" s="1532">
        <f t="shared" si="98"/>
        <v>1.6269371165961893E-4</v>
      </c>
      <c r="AB205" s="663" t="s">
        <v>740</v>
      </c>
      <c r="AC205" s="1532">
        <f t="shared" si="99"/>
        <v>5.9654360941860276E-4</v>
      </c>
      <c r="AD205" s="161"/>
      <c r="AE205" s="161"/>
      <c r="AF205" s="161"/>
      <c r="AG205" s="161"/>
      <c r="AH205" s="161"/>
      <c r="AI205" s="161"/>
      <c r="AJ205" s="161"/>
      <c r="AK205" s="161"/>
      <c r="AL205" s="161"/>
      <c r="AM205" s="161"/>
      <c r="AN205" s="161"/>
      <c r="AO205" s="161"/>
      <c r="AP205" s="161"/>
      <c r="AQ205" s="161"/>
      <c r="AR205" s="161"/>
      <c r="AS205" s="161"/>
      <c r="AT205" s="161"/>
      <c r="AU205" s="161"/>
      <c r="AV205" s="161"/>
      <c r="AW205" s="161"/>
      <c r="AX205" s="161"/>
      <c r="AY205" s="161"/>
      <c r="AZ205" s="161"/>
      <c r="BA205" s="161"/>
      <c r="BB205" s="161"/>
      <c r="BC205" s="161"/>
      <c r="BD205" s="161"/>
      <c r="BE205" s="161"/>
      <c r="BF205" s="161"/>
      <c r="BG205" s="161"/>
      <c r="BH205" s="161"/>
      <c r="BI205" s="161"/>
      <c r="BJ205" s="161"/>
      <c r="BK205" s="161"/>
      <c r="BL205" s="161"/>
      <c r="BM205" s="161"/>
      <c r="BN205" s="161"/>
      <c r="BO205" s="161"/>
      <c r="BP205" s="161"/>
      <c r="BQ205" s="161"/>
      <c r="BR205" s="161"/>
      <c r="BS205" s="161"/>
      <c r="BT205" s="161"/>
      <c r="BU205" s="161"/>
      <c r="BV205" s="161"/>
      <c r="BW205" s="161"/>
      <c r="BX205" s="161"/>
      <c r="BY205" s="161"/>
      <c r="BZ205" s="161"/>
      <c r="CA205" s="161"/>
      <c r="CB205" s="161"/>
      <c r="CC205" s="161"/>
    </row>
    <row r="206" spans="1:81" ht="11.25" customHeight="1" x14ac:dyDescent="0.2">
      <c r="A206" s="1507"/>
      <c r="B206" s="1428" t="s">
        <v>1323</v>
      </c>
      <c r="C206" s="161" t="s">
        <v>1544</v>
      </c>
      <c r="D206" s="161"/>
      <c r="E206" s="1529">
        <v>0</v>
      </c>
      <c r="F206" s="663" t="s">
        <v>740</v>
      </c>
      <c r="G206" s="161" t="s">
        <v>708</v>
      </c>
      <c r="H206" s="161"/>
      <c r="I206" s="1425">
        <f>(E206*1000/2000*0.9072)</f>
        <v>0</v>
      </c>
      <c r="J206" s="663" t="s">
        <v>755</v>
      </c>
      <c r="K206" s="1509">
        <v>1</v>
      </c>
      <c r="L206" s="663" t="s">
        <v>755</v>
      </c>
      <c r="M206" s="1510">
        <v>0.03</v>
      </c>
      <c r="N206" s="663" t="s">
        <v>755</v>
      </c>
      <c r="O206" s="1417">
        <v>0.86</v>
      </c>
      <c r="P206" s="663" t="s">
        <v>755</v>
      </c>
      <c r="Q206" s="1511">
        <v>0.93</v>
      </c>
      <c r="R206" s="663" t="s">
        <v>755</v>
      </c>
      <c r="S206" s="1511">
        <v>0.88</v>
      </c>
      <c r="T206" s="663" t="s">
        <v>740</v>
      </c>
      <c r="U206" s="1512">
        <v>1.06E-2</v>
      </c>
      <c r="V206" s="663" t="s">
        <v>740</v>
      </c>
      <c r="W206" s="1530">
        <f t="shared" si="97"/>
        <v>0</v>
      </c>
      <c r="X206" s="663" t="s">
        <v>740</v>
      </c>
      <c r="Y206" s="1531">
        <v>0</v>
      </c>
      <c r="Z206" s="663" t="s">
        <v>740</v>
      </c>
      <c r="AA206" s="1532">
        <f t="shared" si="98"/>
        <v>0</v>
      </c>
      <c r="AB206" s="663" t="s">
        <v>740</v>
      </c>
      <c r="AC206" s="1532">
        <f t="shared" si="99"/>
        <v>0</v>
      </c>
      <c r="AD206" s="161"/>
      <c r="AE206" s="161"/>
      <c r="AF206" s="161"/>
      <c r="AG206" s="161"/>
      <c r="AH206" s="161"/>
      <c r="AI206" s="161"/>
      <c r="AJ206" s="161"/>
      <c r="AK206" s="161"/>
      <c r="AL206" s="161"/>
      <c r="AM206" s="161"/>
      <c r="AN206" s="161"/>
      <c r="AO206" s="161"/>
      <c r="AP206" s="161"/>
      <c r="AQ206" s="161"/>
      <c r="AR206" s="161"/>
      <c r="AS206" s="161"/>
      <c r="AT206" s="161"/>
      <c r="AU206" s="161"/>
      <c r="AV206" s="161"/>
      <c r="AW206" s="161"/>
      <c r="AX206" s="161"/>
      <c r="AY206" s="161"/>
      <c r="AZ206" s="161"/>
      <c r="BA206" s="161"/>
      <c r="BB206" s="161"/>
      <c r="BC206" s="161"/>
      <c r="BD206" s="161"/>
      <c r="BE206" s="161"/>
      <c r="BF206" s="161"/>
      <c r="BG206" s="161"/>
      <c r="BH206" s="161"/>
      <c r="BI206" s="161"/>
      <c r="BJ206" s="161"/>
      <c r="BK206" s="161"/>
      <c r="BL206" s="161"/>
      <c r="BM206" s="161"/>
      <c r="BN206" s="161"/>
      <c r="BO206" s="161"/>
      <c r="BP206" s="161"/>
      <c r="BQ206" s="161"/>
      <c r="BR206" s="161"/>
      <c r="BS206" s="161"/>
      <c r="BT206" s="161"/>
      <c r="BU206" s="161"/>
      <c r="BV206" s="161"/>
      <c r="BW206" s="161"/>
      <c r="BX206" s="161"/>
      <c r="BY206" s="161"/>
      <c r="BZ206" s="161"/>
      <c r="CA206" s="161"/>
      <c r="CB206" s="161"/>
      <c r="CC206" s="161"/>
    </row>
    <row r="207" spans="1:81" ht="11.25" customHeight="1" x14ac:dyDescent="0.2">
      <c r="A207" s="1507"/>
      <c r="B207" s="1428" t="s">
        <v>1305</v>
      </c>
      <c r="C207" s="161" t="s">
        <v>1545</v>
      </c>
      <c r="D207" s="161"/>
      <c r="E207" s="1529">
        <v>0</v>
      </c>
      <c r="F207" s="663" t="s">
        <v>740</v>
      </c>
      <c r="G207" s="161" t="s">
        <v>708</v>
      </c>
      <c r="H207" s="161"/>
      <c r="I207" s="1425">
        <v>0</v>
      </c>
      <c r="J207" s="663" t="s">
        <v>755</v>
      </c>
      <c r="K207" s="1509">
        <v>1.4</v>
      </c>
      <c r="L207" s="663" t="s">
        <v>755</v>
      </c>
      <c r="M207" s="1510">
        <v>0</v>
      </c>
      <c r="N207" s="663" t="s">
        <v>755</v>
      </c>
      <c r="O207" s="1417">
        <v>0.91</v>
      </c>
      <c r="P207" s="663" t="s">
        <v>755</v>
      </c>
      <c r="Q207" s="1511">
        <v>0.93</v>
      </c>
      <c r="R207" s="663" t="s">
        <v>755</v>
      </c>
      <c r="S207" s="1511">
        <v>0.88</v>
      </c>
      <c r="T207" s="663" t="s">
        <v>740</v>
      </c>
      <c r="U207" s="1512">
        <v>7.1999999999999998E-3</v>
      </c>
      <c r="V207" s="663" t="s">
        <v>740</v>
      </c>
      <c r="W207" s="1530">
        <f t="shared" si="97"/>
        <v>0</v>
      </c>
      <c r="X207" s="663" t="s">
        <v>740</v>
      </c>
      <c r="Y207" s="1531">
        <v>0</v>
      </c>
      <c r="Z207" s="663" t="s">
        <v>740</v>
      </c>
      <c r="AA207" s="1532">
        <f t="shared" si="98"/>
        <v>0</v>
      </c>
      <c r="AB207" s="663" t="s">
        <v>740</v>
      </c>
      <c r="AC207" s="1532">
        <f t="shared" si="99"/>
        <v>0</v>
      </c>
      <c r="AD207" s="161"/>
      <c r="AE207" s="161"/>
      <c r="AF207" s="161"/>
      <c r="AG207" s="161"/>
      <c r="AH207" s="161"/>
      <c r="AI207" s="161"/>
      <c r="AJ207" s="161"/>
      <c r="AK207" s="161"/>
      <c r="AL207" s="161"/>
      <c r="AM207" s="161"/>
      <c r="AN207" s="161"/>
      <c r="AO207" s="161"/>
      <c r="AP207" s="161"/>
      <c r="AQ207" s="161"/>
      <c r="AR207" s="161"/>
      <c r="AS207" s="161"/>
      <c r="AT207" s="161"/>
      <c r="AU207" s="161"/>
      <c r="AV207" s="161"/>
      <c r="AW207" s="161"/>
      <c r="AX207" s="161"/>
      <c r="AY207" s="161"/>
      <c r="AZ207" s="161"/>
      <c r="BA207" s="161"/>
      <c r="BB207" s="161"/>
      <c r="BC207" s="161"/>
      <c r="BD207" s="161"/>
      <c r="BE207" s="161"/>
      <c r="BF207" s="161"/>
      <c r="BG207" s="161"/>
      <c r="BH207" s="161"/>
      <c r="BI207" s="161"/>
      <c r="BJ207" s="161"/>
      <c r="BK207" s="161"/>
      <c r="BL207" s="161"/>
      <c r="BM207" s="161"/>
      <c r="BN207" s="161"/>
      <c r="BO207" s="161"/>
      <c r="BP207" s="161"/>
      <c r="BQ207" s="161"/>
      <c r="BR207" s="161"/>
      <c r="BS207" s="161"/>
      <c r="BT207" s="161"/>
      <c r="BU207" s="161"/>
      <c r="BV207" s="161"/>
      <c r="BW207" s="161"/>
      <c r="BX207" s="161"/>
      <c r="BY207" s="161"/>
      <c r="BZ207" s="161"/>
      <c r="CA207" s="161"/>
      <c r="CB207" s="161"/>
      <c r="CC207" s="161"/>
    </row>
    <row r="208" spans="1:81" ht="11.25" customHeight="1" x14ac:dyDescent="0.2">
      <c r="A208" s="1507"/>
      <c r="B208" s="1428" t="s">
        <v>1546</v>
      </c>
      <c r="C208" s="161" t="s">
        <v>1267</v>
      </c>
      <c r="D208" s="161"/>
      <c r="E208" s="1529">
        <v>15810</v>
      </c>
      <c r="F208" s="663" t="s">
        <v>740</v>
      </c>
      <c r="G208" s="161">
        <v>2.7215692074999999E-2</v>
      </c>
      <c r="H208" s="161"/>
      <c r="I208" s="1425">
        <f>E208*G208*1000</f>
        <v>430280.09170575003</v>
      </c>
      <c r="J208" s="663" t="s">
        <v>755</v>
      </c>
      <c r="K208" s="1509">
        <v>2.1</v>
      </c>
      <c r="L208" s="663" t="s">
        <v>755</v>
      </c>
      <c r="M208" s="1510">
        <v>0.03</v>
      </c>
      <c r="N208" s="663" t="s">
        <v>755</v>
      </c>
      <c r="O208" s="1417">
        <v>0.87</v>
      </c>
      <c r="P208" s="663" t="s">
        <v>755</v>
      </c>
      <c r="Q208" s="1511">
        <v>0.93</v>
      </c>
      <c r="R208" s="663" t="s">
        <v>755</v>
      </c>
      <c r="S208" s="1511">
        <v>0.88</v>
      </c>
      <c r="T208" s="663" t="s">
        <v>740</v>
      </c>
      <c r="U208" s="1512">
        <v>2.3E-2</v>
      </c>
      <c r="V208" s="663" t="s">
        <v>740</v>
      </c>
      <c r="W208" s="1530">
        <f t="shared" si="97"/>
        <v>443.91979505854493</v>
      </c>
      <c r="X208" s="663" t="s">
        <v>740</v>
      </c>
      <c r="Y208" s="1531">
        <v>4.883117745643994</v>
      </c>
      <c r="Z208" s="663" t="s">
        <v>740</v>
      </c>
      <c r="AA208" s="1532">
        <f t="shared" si="98"/>
        <v>3.6357031215294831E-4</v>
      </c>
      <c r="AB208" s="663" t="s">
        <v>740</v>
      </c>
      <c r="AC208" s="1532">
        <f t="shared" si="99"/>
        <v>1.3330911445608106E-3</v>
      </c>
      <c r="AD208" s="161"/>
      <c r="AE208" s="161"/>
      <c r="AF208" s="161"/>
      <c r="AG208" s="161"/>
      <c r="AH208" s="161"/>
      <c r="AI208" s="161"/>
      <c r="AJ208" s="161"/>
      <c r="AK208" s="161"/>
      <c r="AL208" s="161"/>
      <c r="AM208" s="161"/>
      <c r="AN208" s="161"/>
      <c r="AO208" s="161"/>
      <c r="AP208" s="161"/>
      <c r="AQ208" s="161"/>
      <c r="AR208" s="161"/>
      <c r="AS208" s="161"/>
      <c r="AT208" s="161"/>
      <c r="AU208" s="161"/>
      <c r="AV208" s="161"/>
      <c r="AW208" s="161"/>
      <c r="AX208" s="161"/>
      <c r="AY208" s="161"/>
      <c r="AZ208" s="161"/>
      <c r="BA208" s="161"/>
      <c r="BB208" s="161"/>
      <c r="BC208" s="161"/>
      <c r="BD208" s="161"/>
      <c r="BE208" s="161"/>
      <c r="BF208" s="161"/>
      <c r="BG208" s="161"/>
      <c r="BH208" s="161"/>
      <c r="BI208" s="161"/>
      <c r="BJ208" s="161"/>
      <c r="BK208" s="161"/>
      <c r="BL208" s="161"/>
      <c r="BM208" s="161"/>
      <c r="BN208" s="161"/>
      <c r="BO208" s="161"/>
      <c r="BP208" s="161"/>
      <c r="BQ208" s="161"/>
      <c r="BR208" s="161"/>
      <c r="BS208" s="161"/>
      <c r="BT208" s="161"/>
      <c r="BU208" s="161"/>
      <c r="BV208" s="161"/>
      <c r="BW208" s="161"/>
      <c r="BX208" s="161"/>
      <c r="BY208" s="161"/>
      <c r="BZ208" s="161"/>
      <c r="CA208" s="161"/>
      <c r="CB208" s="161"/>
      <c r="CC208" s="161"/>
    </row>
    <row r="209" spans="1:81" ht="11.25" customHeight="1" x14ac:dyDescent="0.2">
      <c r="A209" s="1507"/>
      <c r="B209" s="1428" t="s">
        <v>1547</v>
      </c>
      <c r="C209" s="161" t="s">
        <v>1251</v>
      </c>
      <c r="D209" s="161"/>
      <c r="E209" s="1529">
        <v>0</v>
      </c>
      <c r="F209" s="663" t="s">
        <v>740</v>
      </c>
      <c r="G209" s="161" t="s">
        <v>708</v>
      </c>
      <c r="H209" s="161"/>
      <c r="I209" s="1425">
        <f>E209*0.9072*1000</f>
        <v>0</v>
      </c>
      <c r="J209" s="663" t="s">
        <v>755</v>
      </c>
      <c r="K209" s="1509">
        <v>0.8</v>
      </c>
      <c r="L209" s="663" t="s">
        <v>755</v>
      </c>
      <c r="M209" s="1510">
        <v>0.03</v>
      </c>
      <c r="N209" s="663" t="s">
        <v>755</v>
      </c>
      <c r="O209" s="1417">
        <v>0.62</v>
      </c>
      <c r="P209" s="663" t="s">
        <v>755</v>
      </c>
      <c r="Q209" s="1511">
        <v>0.93</v>
      </c>
      <c r="R209" s="663" t="s">
        <v>755</v>
      </c>
      <c r="S209" s="1511">
        <v>0.88</v>
      </c>
      <c r="T209" s="663" t="s">
        <v>740</v>
      </c>
      <c r="U209" s="1512">
        <v>4.0000000000000001E-3</v>
      </c>
      <c r="V209" s="663" t="s">
        <v>740</v>
      </c>
      <c r="W209" s="1530">
        <f t="shared" si="97"/>
        <v>0</v>
      </c>
      <c r="X209" s="663" t="s">
        <v>740</v>
      </c>
      <c r="Y209" s="1531">
        <v>0</v>
      </c>
      <c r="Z209" s="663" t="s">
        <v>740</v>
      </c>
      <c r="AA209" s="1532">
        <f t="shared" si="98"/>
        <v>0</v>
      </c>
      <c r="AB209" s="663" t="s">
        <v>740</v>
      </c>
      <c r="AC209" s="1532">
        <f t="shared" si="99"/>
        <v>0</v>
      </c>
      <c r="AD209" s="161"/>
      <c r="AE209" s="161"/>
      <c r="AF209" s="161"/>
      <c r="AG209" s="161"/>
      <c r="AH209" s="161"/>
      <c r="AI209" s="161"/>
      <c r="AJ209" s="161"/>
      <c r="AK209" s="161"/>
      <c r="AL209" s="161"/>
      <c r="AM209" s="161"/>
      <c r="AN209" s="161"/>
      <c r="AO209" s="161"/>
      <c r="AP209" s="161"/>
      <c r="AQ209" s="161"/>
      <c r="AR209" s="161"/>
      <c r="AS209" s="161"/>
      <c r="AT209" s="161"/>
      <c r="AU209" s="161"/>
      <c r="AV209" s="161"/>
      <c r="AW209" s="161"/>
      <c r="AX209" s="161"/>
      <c r="AY209" s="161"/>
      <c r="AZ209" s="161"/>
      <c r="BA209" s="161"/>
      <c r="BB209" s="161"/>
      <c r="BC209" s="161"/>
      <c r="BD209" s="161"/>
      <c r="BE209" s="161"/>
      <c r="BF209" s="161"/>
      <c r="BG209" s="161"/>
      <c r="BH209" s="161"/>
      <c r="BI209" s="161"/>
      <c r="BJ209" s="161"/>
      <c r="BK209" s="161"/>
      <c r="BL209" s="161"/>
      <c r="BM209" s="161"/>
      <c r="BN209" s="161"/>
      <c r="BO209" s="161"/>
      <c r="BP209" s="161"/>
      <c r="BQ209" s="161"/>
      <c r="BR209" s="161"/>
      <c r="BS209" s="161"/>
      <c r="BT209" s="161"/>
      <c r="BU209" s="161"/>
      <c r="BV209" s="161"/>
      <c r="BW209" s="161"/>
      <c r="BX209" s="161"/>
      <c r="BY209" s="161"/>
      <c r="BZ209" s="161"/>
      <c r="CA209" s="161"/>
      <c r="CB209" s="161"/>
      <c r="CC209" s="161"/>
    </row>
    <row r="210" spans="1:81" ht="11.25" customHeight="1" x14ac:dyDescent="0.2">
      <c r="A210" s="1507"/>
      <c r="B210" s="1428" t="s">
        <v>1548</v>
      </c>
      <c r="C210" s="161" t="s">
        <v>1267</v>
      </c>
      <c r="D210" s="161"/>
      <c r="E210" s="1529">
        <v>8500</v>
      </c>
      <c r="F210" s="663" t="s">
        <v>740</v>
      </c>
      <c r="G210" s="161">
        <v>2.7215442853E-2</v>
      </c>
      <c r="H210" s="161"/>
      <c r="I210" s="1425">
        <f>E210*G210*1000</f>
        <v>231331.26425050001</v>
      </c>
      <c r="J210" s="663" t="s">
        <v>755</v>
      </c>
      <c r="K210" s="1509">
        <v>1.3</v>
      </c>
      <c r="L210" s="663" t="s">
        <v>755</v>
      </c>
      <c r="M210" s="1510">
        <v>0.03</v>
      </c>
      <c r="N210" s="663" t="s">
        <v>755</v>
      </c>
      <c r="O210" s="1417">
        <v>0.93</v>
      </c>
      <c r="P210" s="663" t="s">
        <v>755</v>
      </c>
      <c r="Q210" s="1511">
        <v>0.93</v>
      </c>
      <c r="R210" s="663" t="s">
        <v>755</v>
      </c>
      <c r="S210" s="1511">
        <v>0.88</v>
      </c>
      <c r="T210" s="663" t="s">
        <v>740</v>
      </c>
      <c r="U210" s="1512">
        <v>6.1999999999999998E-3</v>
      </c>
      <c r="V210" s="663" t="s">
        <v>740</v>
      </c>
      <c r="W210" s="1530">
        <f t="shared" si="97"/>
        <v>42.573484489247591</v>
      </c>
      <c r="X210" s="663" t="s">
        <v>740</v>
      </c>
      <c r="Y210" s="1531">
        <v>0.46830832938172345</v>
      </c>
      <c r="Z210" s="663" t="s">
        <v>740</v>
      </c>
      <c r="AA210" s="1532">
        <f t="shared" si="98"/>
        <v>3.4867683796693778E-5</v>
      </c>
      <c r="AB210" s="663" t="s">
        <v>740</v>
      </c>
      <c r="AC210" s="1532">
        <f t="shared" si="99"/>
        <v>1.2784817392121054E-4</v>
      </c>
      <c r="AD210" s="161"/>
      <c r="AE210" s="161"/>
      <c r="AF210" s="161"/>
      <c r="AG210" s="161"/>
      <c r="AH210" s="161"/>
      <c r="AI210" s="161"/>
      <c r="AJ210" s="161"/>
      <c r="AK210" s="161"/>
      <c r="AL210" s="161"/>
      <c r="AM210" s="161"/>
      <c r="AN210" s="161"/>
      <c r="AO210" s="161"/>
      <c r="AP210" s="161"/>
      <c r="AQ210" s="161"/>
      <c r="AR210" s="161"/>
      <c r="AS210" s="161"/>
      <c r="AT210" s="161"/>
      <c r="AU210" s="161"/>
      <c r="AV210" s="161"/>
      <c r="AW210" s="161"/>
      <c r="AX210" s="161"/>
      <c r="AY210" s="161"/>
      <c r="AZ210" s="161"/>
      <c r="BA210" s="161"/>
      <c r="BB210" s="161"/>
      <c r="BC210" s="161"/>
      <c r="BD210" s="161"/>
      <c r="BE210" s="161"/>
      <c r="BF210" s="161"/>
      <c r="BG210" s="161"/>
      <c r="BH210" s="161"/>
      <c r="BI210" s="161"/>
      <c r="BJ210" s="161"/>
      <c r="BK210" s="161"/>
      <c r="BL210" s="161"/>
      <c r="BM210" s="161"/>
      <c r="BN210" s="161"/>
      <c r="BO210" s="161"/>
      <c r="BP210" s="161"/>
      <c r="BQ210" s="161"/>
      <c r="BR210" s="161"/>
      <c r="BS210" s="161"/>
      <c r="BT210" s="161"/>
      <c r="BU210" s="161"/>
      <c r="BV210" s="161"/>
      <c r="BW210" s="161"/>
      <c r="BX210" s="161"/>
      <c r="BY210" s="161"/>
      <c r="BZ210" s="161"/>
      <c r="CA210" s="161"/>
      <c r="CB210" s="161"/>
      <c r="CC210" s="161"/>
    </row>
    <row r="211" spans="1:81" ht="11.25" customHeight="1" x14ac:dyDescent="0.2">
      <c r="A211" s="1507"/>
      <c r="B211" s="1428" t="s">
        <v>92</v>
      </c>
      <c r="C211" s="161"/>
      <c r="D211" s="161"/>
      <c r="E211" s="1529">
        <v>0</v>
      </c>
      <c r="F211" s="663" t="s">
        <v>740</v>
      </c>
      <c r="G211" s="161" t="s">
        <v>708</v>
      </c>
      <c r="H211" s="161"/>
      <c r="I211" s="1425">
        <f t="shared" ref="I211:I212" si="100">E211</f>
        <v>0</v>
      </c>
      <c r="J211" s="663" t="s">
        <v>755</v>
      </c>
      <c r="K211" s="1516"/>
      <c r="L211" s="663" t="s">
        <v>755</v>
      </c>
      <c r="M211" s="1517"/>
      <c r="N211" s="663" t="s">
        <v>755</v>
      </c>
      <c r="O211" s="1518"/>
      <c r="P211" s="663" t="s">
        <v>755</v>
      </c>
      <c r="Q211" s="1519"/>
      <c r="R211" s="663" t="s">
        <v>755</v>
      </c>
      <c r="S211" s="1520"/>
      <c r="T211" s="663" t="s">
        <v>740</v>
      </c>
      <c r="U211" s="1521"/>
      <c r="V211" s="663" t="s">
        <v>740</v>
      </c>
      <c r="W211" s="1530">
        <f t="shared" si="97"/>
        <v>0</v>
      </c>
      <c r="X211" s="663" t="s">
        <v>740</v>
      </c>
      <c r="Y211" s="1531">
        <v>0</v>
      </c>
      <c r="Z211" s="663" t="s">
        <v>740</v>
      </c>
      <c r="AA211" s="1532">
        <f t="shared" si="98"/>
        <v>0</v>
      </c>
      <c r="AB211" s="663" t="s">
        <v>740</v>
      </c>
      <c r="AC211" s="1532">
        <f t="shared" si="99"/>
        <v>0</v>
      </c>
      <c r="AD211" s="161"/>
      <c r="AE211" s="161"/>
      <c r="AF211" s="161"/>
      <c r="AG211" s="161"/>
      <c r="AH211" s="161"/>
      <c r="AI211" s="161"/>
      <c r="AJ211" s="161"/>
      <c r="AK211" s="161"/>
      <c r="AL211" s="161"/>
      <c r="AM211" s="161"/>
      <c r="AN211" s="161"/>
      <c r="AO211" s="161"/>
      <c r="AP211" s="161"/>
      <c r="AQ211" s="161"/>
      <c r="AR211" s="161"/>
      <c r="AS211" s="161"/>
      <c r="AT211" s="161"/>
      <c r="AU211" s="161"/>
      <c r="AV211" s="161"/>
      <c r="AW211" s="161"/>
      <c r="AX211" s="161"/>
      <c r="AY211" s="161"/>
      <c r="AZ211" s="161"/>
      <c r="BA211" s="161"/>
      <c r="BB211" s="161"/>
      <c r="BC211" s="161"/>
      <c r="BD211" s="161"/>
      <c r="BE211" s="161"/>
      <c r="BF211" s="161"/>
      <c r="BG211" s="161"/>
      <c r="BH211" s="161"/>
      <c r="BI211" s="161"/>
      <c r="BJ211" s="161"/>
      <c r="BK211" s="161"/>
      <c r="BL211" s="161"/>
      <c r="BM211" s="161"/>
      <c r="BN211" s="161"/>
      <c r="BO211" s="161"/>
      <c r="BP211" s="161"/>
      <c r="BQ211" s="161"/>
      <c r="BR211" s="161"/>
      <c r="BS211" s="161"/>
      <c r="BT211" s="161"/>
      <c r="BU211" s="161"/>
      <c r="BV211" s="161"/>
      <c r="BW211" s="161"/>
      <c r="BX211" s="161"/>
      <c r="BY211" s="161"/>
      <c r="BZ211" s="161"/>
      <c r="CA211" s="161"/>
      <c r="CB211" s="161"/>
      <c r="CC211" s="161"/>
    </row>
    <row r="212" spans="1:81" ht="11.25" customHeight="1" x14ac:dyDescent="0.2">
      <c r="A212" s="1507"/>
      <c r="B212" s="161"/>
      <c r="C212" s="161"/>
      <c r="D212" s="161"/>
      <c r="E212" s="1529">
        <v>0</v>
      </c>
      <c r="F212" s="663" t="s">
        <v>740</v>
      </c>
      <c r="G212" s="161" t="s">
        <v>708</v>
      </c>
      <c r="H212" s="161"/>
      <c r="I212" s="1425">
        <f t="shared" si="100"/>
        <v>0</v>
      </c>
      <c r="J212" s="663" t="s">
        <v>755</v>
      </c>
      <c r="K212" s="1516"/>
      <c r="L212" s="663" t="s">
        <v>755</v>
      </c>
      <c r="M212" s="1517"/>
      <c r="N212" s="663" t="s">
        <v>755</v>
      </c>
      <c r="O212" s="1518"/>
      <c r="P212" s="663" t="s">
        <v>755</v>
      </c>
      <c r="Q212" s="1519"/>
      <c r="R212" s="663" t="s">
        <v>755</v>
      </c>
      <c r="S212" s="1520"/>
      <c r="T212" s="663" t="s">
        <v>740</v>
      </c>
      <c r="U212" s="1521"/>
      <c r="V212" s="663" t="s">
        <v>740</v>
      </c>
      <c r="W212" s="1530">
        <f t="shared" si="97"/>
        <v>0</v>
      </c>
      <c r="X212" s="663" t="s">
        <v>740</v>
      </c>
      <c r="Y212" s="1531">
        <v>0</v>
      </c>
      <c r="Z212" s="663" t="s">
        <v>740</v>
      </c>
      <c r="AA212" s="1532">
        <f t="shared" si="98"/>
        <v>0</v>
      </c>
      <c r="AB212" s="663" t="s">
        <v>740</v>
      </c>
      <c r="AC212" s="1532">
        <f t="shared" si="99"/>
        <v>0</v>
      </c>
      <c r="AD212" s="161"/>
      <c r="AE212" s="161"/>
      <c r="AF212" s="161"/>
      <c r="AG212" s="161"/>
      <c r="AH212" s="161"/>
      <c r="AI212" s="161"/>
      <c r="AJ212" s="161"/>
      <c r="AK212" s="161"/>
      <c r="AL212" s="161"/>
      <c r="AM212" s="161"/>
      <c r="AN212" s="161"/>
      <c r="AO212" s="161"/>
      <c r="AP212" s="161"/>
      <c r="AQ212" s="161"/>
      <c r="AR212" s="161"/>
      <c r="AS212" s="161"/>
      <c r="AT212" s="161"/>
      <c r="AU212" s="161"/>
      <c r="AV212" s="161"/>
      <c r="AW212" s="161"/>
      <c r="AX212" s="161"/>
      <c r="AY212" s="161"/>
      <c r="AZ212" s="161"/>
      <c r="BA212" s="161"/>
      <c r="BB212" s="161"/>
      <c r="BC212" s="161"/>
      <c r="BD212" s="161"/>
      <c r="BE212" s="161"/>
      <c r="BF212" s="161"/>
      <c r="BG212" s="161"/>
      <c r="BH212" s="161"/>
      <c r="BI212" s="161"/>
      <c r="BJ212" s="161"/>
      <c r="BK212" s="161"/>
      <c r="BL212" s="161"/>
      <c r="BM212" s="161"/>
      <c r="BN212" s="161"/>
      <c r="BO212" s="161"/>
      <c r="BP212" s="161"/>
      <c r="BQ212" s="161"/>
      <c r="BR212" s="161"/>
      <c r="BS212" s="161"/>
      <c r="BT212" s="161"/>
      <c r="BU212" s="161"/>
      <c r="BV212" s="161"/>
      <c r="BW212" s="161"/>
      <c r="BX212" s="161"/>
      <c r="BY212" s="161"/>
      <c r="BZ212" s="161"/>
      <c r="CA212" s="161"/>
      <c r="CB212" s="161"/>
      <c r="CC212" s="161"/>
    </row>
    <row r="213" spans="1:81" ht="12" customHeight="1" x14ac:dyDescent="0.2">
      <c r="A213" s="1507"/>
      <c r="B213" s="656"/>
      <c r="C213" s="656"/>
      <c r="D213" s="161"/>
      <c r="E213" s="1421"/>
      <c r="F213" s="663"/>
      <c r="G213" s="161"/>
      <c r="H213" s="161"/>
      <c r="I213" s="1522"/>
      <c r="J213" s="663"/>
      <c r="K213" s="1394"/>
      <c r="L213" s="663"/>
      <c r="M213" s="1523"/>
      <c r="N213" s="663"/>
      <c r="O213" s="1524"/>
      <c r="P213" s="161"/>
      <c r="Q213" s="161"/>
      <c r="R213" s="161"/>
      <c r="S213" s="161"/>
      <c r="T213" s="161"/>
      <c r="U213" s="161"/>
      <c r="V213" s="161"/>
      <c r="W213" s="756"/>
      <c r="X213" s="161"/>
      <c r="Y213" s="1533"/>
      <c r="Z213" s="161"/>
      <c r="AA213" s="161"/>
      <c r="AB213" s="161"/>
      <c r="AC213" s="161"/>
      <c r="AD213" s="161"/>
      <c r="AE213" s="161"/>
      <c r="AF213" s="161"/>
      <c r="AG213" s="161"/>
      <c r="AH213" s="161"/>
      <c r="AI213" s="161"/>
      <c r="AJ213" s="161"/>
      <c r="AK213" s="161"/>
      <c r="AL213" s="161"/>
      <c r="AM213" s="161"/>
      <c r="AN213" s="161"/>
      <c r="AO213" s="161"/>
      <c r="AP213" s="161"/>
      <c r="AQ213" s="161"/>
      <c r="AR213" s="161"/>
      <c r="AS213" s="161"/>
      <c r="AT213" s="161"/>
      <c r="AU213" s="161"/>
      <c r="AV213" s="161"/>
      <c r="AW213" s="161"/>
      <c r="AX213" s="161"/>
      <c r="AY213" s="161"/>
      <c r="AZ213" s="161"/>
      <c r="BA213" s="161"/>
      <c r="BB213" s="161"/>
      <c r="BC213" s="161"/>
      <c r="BD213" s="161"/>
      <c r="BE213" s="161"/>
      <c r="BF213" s="161"/>
      <c r="BG213" s="161"/>
      <c r="BH213" s="161"/>
      <c r="BI213" s="161"/>
      <c r="BJ213" s="161"/>
      <c r="BK213" s="161"/>
      <c r="BL213" s="161"/>
      <c r="BM213" s="161"/>
      <c r="BN213" s="161"/>
      <c r="BO213" s="161"/>
      <c r="BP213" s="161"/>
      <c r="BQ213" s="161"/>
      <c r="BR213" s="161"/>
      <c r="BS213" s="161"/>
      <c r="BT213" s="161"/>
      <c r="BU213" s="161"/>
      <c r="BV213" s="161"/>
      <c r="BW213" s="161"/>
      <c r="BX213" s="161"/>
      <c r="BY213" s="161"/>
      <c r="BZ213" s="161"/>
      <c r="CA213" s="161"/>
      <c r="CB213" s="161"/>
      <c r="CC213" s="161"/>
    </row>
    <row r="214" spans="1:81" ht="12" customHeight="1" x14ac:dyDescent="0.2">
      <c r="A214" s="1507"/>
      <c r="B214" s="656" t="s">
        <v>907</v>
      </c>
      <c r="C214" s="656"/>
      <c r="D214" s="161"/>
      <c r="E214" s="663"/>
      <c r="F214" s="663"/>
      <c r="G214" s="161"/>
      <c r="H214" s="161"/>
      <c r="I214" s="663"/>
      <c r="J214" s="663"/>
      <c r="K214" s="1525"/>
      <c r="L214" s="1413"/>
      <c r="M214" s="1525"/>
      <c r="N214" s="1413"/>
      <c r="O214" s="1526"/>
      <c r="P214" s="161"/>
      <c r="Q214" s="1526"/>
      <c r="R214" s="161"/>
      <c r="S214" s="161"/>
      <c r="T214" s="161"/>
      <c r="U214" s="1526"/>
      <c r="V214" s="161"/>
      <c r="W214" s="1534">
        <f>SUM(W204:W212)</f>
        <v>697.93069813155205</v>
      </c>
      <c r="X214" s="161"/>
      <c r="Y214" s="1535">
        <f>SUM(Y204:Y212)</f>
        <v>7.6772376794470736</v>
      </c>
      <c r="Z214" s="161"/>
      <c r="AA214" s="1536">
        <f>SUM(AA204:AA212)</f>
        <v>5.7160524176974126E-4</v>
      </c>
      <c r="AB214" s="161"/>
      <c r="AC214" s="1536">
        <f>SUM(AC204:AC212)</f>
        <v>2.0958858864890515E-3</v>
      </c>
      <c r="AD214" s="161"/>
      <c r="AE214" s="161"/>
      <c r="AF214" s="161"/>
      <c r="AG214" s="161"/>
      <c r="AH214" s="161"/>
      <c r="AI214" s="161"/>
      <c r="AJ214" s="161"/>
      <c r="AK214" s="161"/>
      <c r="AL214" s="161"/>
      <c r="AM214" s="161"/>
      <c r="AN214" s="161"/>
      <c r="AO214" s="161"/>
      <c r="AP214" s="161"/>
      <c r="AQ214" s="161"/>
      <c r="AR214" s="161"/>
      <c r="AS214" s="161"/>
      <c r="AT214" s="161"/>
      <c r="AU214" s="161"/>
      <c r="AV214" s="161"/>
      <c r="AW214" s="161"/>
      <c r="AX214" s="161"/>
      <c r="AY214" s="161"/>
      <c r="AZ214" s="161"/>
      <c r="BA214" s="161"/>
      <c r="BB214" s="161"/>
      <c r="BC214" s="161"/>
      <c r="BD214" s="161"/>
      <c r="BE214" s="161"/>
      <c r="BF214" s="161"/>
      <c r="BG214" s="161"/>
      <c r="BH214" s="161"/>
      <c r="BI214" s="161"/>
      <c r="BJ214" s="161"/>
      <c r="BK214" s="161"/>
      <c r="BL214" s="161"/>
      <c r="BM214" s="161"/>
      <c r="BN214" s="161"/>
      <c r="BO214" s="161"/>
      <c r="BP214" s="161"/>
      <c r="BQ214" s="161"/>
      <c r="BR214" s="161"/>
      <c r="BS214" s="161"/>
      <c r="BT214" s="161"/>
      <c r="BU214" s="161"/>
      <c r="BV214" s="161"/>
      <c r="BW214" s="161"/>
      <c r="BX214" s="161"/>
      <c r="BY214" s="161"/>
      <c r="BZ214" s="161"/>
      <c r="CA214" s="161"/>
      <c r="CB214" s="161"/>
      <c r="CC214" s="161"/>
    </row>
    <row r="215" spans="1:81" ht="12" customHeight="1" x14ac:dyDescent="0.2">
      <c r="A215" s="74"/>
      <c r="B215" s="1061"/>
      <c r="C215" s="1062"/>
      <c r="D215" s="1063"/>
      <c r="E215" s="1063"/>
      <c r="F215" s="1063"/>
      <c r="G215" s="1064"/>
      <c r="H215" s="1065"/>
      <c r="I215" s="1066"/>
      <c r="J215" s="1065"/>
      <c r="K215" s="1067"/>
      <c r="L215" s="74"/>
      <c r="M215" s="1067"/>
      <c r="N215" s="74"/>
      <c r="O215" s="74"/>
      <c r="P215" s="74"/>
      <c r="Q215" s="74"/>
      <c r="R215" s="74"/>
      <c r="S215" s="74"/>
      <c r="T215" s="74"/>
      <c r="U215" s="74"/>
    </row>
    <row r="216" spans="1:81" ht="12" customHeight="1" x14ac:dyDescent="0.2">
      <c r="A216" s="959"/>
      <c r="B216" s="1537" t="s">
        <v>1557</v>
      </c>
      <c r="C216" s="1538"/>
      <c r="D216" s="984"/>
      <c r="E216" s="984"/>
      <c r="F216" s="1035"/>
      <c r="G216" s="1070"/>
      <c r="H216" s="297"/>
      <c r="I216" s="1071"/>
      <c r="J216" s="297"/>
      <c r="K216" s="1072"/>
      <c r="M216" s="1072"/>
      <c r="AH216" s="1233" t="s">
        <v>1430</v>
      </c>
    </row>
    <row r="217" spans="1:81" ht="12.75" customHeight="1" x14ac:dyDescent="0.2">
      <c r="A217" s="959"/>
      <c r="B217" s="959"/>
      <c r="C217" s="959"/>
      <c r="D217" s="959"/>
      <c r="E217" s="959"/>
    </row>
    <row r="218" spans="1:81" ht="25.5" customHeight="1" x14ac:dyDescent="0.25">
      <c r="A218" s="959"/>
      <c r="B218" s="1539" t="s">
        <v>1558</v>
      </c>
      <c r="C218" s="1540">
        <v>2006</v>
      </c>
      <c r="D218" s="1541"/>
      <c r="E218" s="1542" t="s">
        <v>1559</v>
      </c>
    </row>
    <row r="219" spans="1:81" ht="12" customHeight="1" x14ac:dyDescent="0.2">
      <c r="A219" s="959"/>
      <c r="B219" s="1543" t="s">
        <v>434</v>
      </c>
      <c r="C219" s="1544">
        <f>M25</f>
        <v>0.55676167779199037</v>
      </c>
      <c r="D219" s="1545"/>
      <c r="E219" s="1546">
        <f t="shared" ref="E219:E224" si="101">C219</f>
        <v>0.55676167779199037</v>
      </c>
    </row>
    <row r="220" spans="1:81" ht="12" customHeight="1" x14ac:dyDescent="0.2">
      <c r="A220" s="959"/>
      <c r="B220" s="1543" t="s">
        <v>440</v>
      </c>
      <c r="C220" s="1544">
        <f>W59+U85</f>
        <v>0.32385656496664295</v>
      </c>
      <c r="D220" s="1547"/>
      <c r="E220" s="1546">
        <f t="shared" si="101"/>
        <v>0.32385656496664295</v>
      </c>
    </row>
    <row r="221" spans="1:81" ht="12" customHeight="1" x14ac:dyDescent="0.2">
      <c r="A221" s="959"/>
      <c r="B221" s="1543" t="s">
        <v>1560</v>
      </c>
      <c r="C221" s="1544">
        <f>C250*$Z$8/1000000</f>
        <v>0.89797074448265468</v>
      </c>
      <c r="D221" s="1547"/>
      <c r="E221" s="1546">
        <f t="shared" si="101"/>
        <v>0.89797074448265468</v>
      </c>
      <c r="G221" s="1548"/>
    </row>
    <row r="222" spans="1:81" ht="12" customHeight="1" x14ac:dyDescent="0.2">
      <c r="A222" s="959"/>
      <c r="B222" s="1543" t="s">
        <v>1561</v>
      </c>
      <c r="C222" s="1549">
        <v>0</v>
      </c>
      <c r="D222" s="1547"/>
      <c r="E222" s="1546">
        <f t="shared" si="101"/>
        <v>0</v>
      </c>
    </row>
    <row r="223" spans="1:81" ht="12" customHeight="1" x14ac:dyDescent="0.2">
      <c r="A223" s="959"/>
      <c r="B223" s="1543" t="s">
        <v>1562</v>
      </c>
      <c r="C223" s="1544">
        <f>AC199+AC214</f>
        <v>7.2681588069453389E-3</v>
      </c>
      <c r="D223" s="1547"/>
      <c r="E223" s="1546">
        <f t="shared" si="101"/>
        <v>7.2681588069453389E-3</v>
      </c>
    </row>
    <row r="224" spans="1:81" ht="12.75" customHeight="1" x14ac:dyDescent="0.2">
      <c r="A224" s="959"/>
      <c r="B224" s="1550" t="s">
        <v>907</v>
      </c>
      <c r="C224" s="1551">
        <f>SUM(C219:C223)</f>
        <v>1.7858571460482333</v>
      </c>
      <c r="D224" s="1552"/>
      <c r="E224" s="1553">
        <f t="shared" si="101"/>
        <v>1.7858571460482333</v>
      </c>
    </row>
    <row r="225" spans="1:5" ht="12.75" customHeight="1" x14ac:dyDescent="0.2">
      <c r="A225" s="959"/>
      <c r="B225" s="1554"/>
      <c r="C225" s="1555"/>
      <c r="D225" s="1556"/>
      <c r="E225" s="1557"/>
    </row>
    <row r="226" spans="1:5" ht="25.5" customHeight="1" x14ac:dyDescent="0.2">
      <c r="A226" s="959"/>
      <c r="B226" s="1558" t="s">
        <v>1563</v>
      </c>
      <c r="C226" s="1559">
        <v>2006</v>
      </c>
      <c r="D226" s="1560"/>
      <c r="E226" s="1542" t="s">
        <v>1559</v>
      </c>
    </row>
    <row r="227" spans="1:5" ht="12" customHeight="1" x14ac:dyDescent="0.2">
      <c r="A227" s="959"/>
      <c r="B227" s="1561" t="s">
        <v>1564</v>
      </c>
      <c r="C227" s="1562">
        <f>SUM(C228:C231)</f>
        <v>2.4493089267832491E-2</v>
      </c>
      <c r="D227" s="1563"/>
      <c r="E227" s="1564">
        <f t="shared" ref="E227:E231" si="102">C227*$Z$7</f>
        <v>0.68335719057252653</v>
      </c>
    </row>
    <row r="228" spans="1:5" ht="12" customHeight="1" x14ac:dyDescent="0.2">
      <c r="A228" s="959"/>
      <c r="B228" s="1565" t="s">
        <v>434</v>
      </c>
      <c r="C228" s="1549">
        <v>1.9955615691469183E-2</v>
      </c>
      <c r="D228" s="1547"/>
      <c r="E228" s="1546">
        <f t="shared" si="102"/>
        <v>0.55676167779199015</v>
      </c>
    </row>
    <row r="229" spans="1:5" ht="12" customHeight="1" x14ac:dyDescent="0.2">
      <c r="A229" s="959"/>
      <c r="B229" s="1565" t="s">
        <v>440</v>
      </c>
      <c r="C229" s="1549">
        <v>4.352087450182081E-3</v>
      </c>
      <c r="D229" s="1547"/>
      <c r="E229" s="1546">
        <f t="shared" si="102"/>
        <v>0.12142323986008005</v>
      </c>
    </row>
    <row r="230" spans="1:5" ht="12" customHeight="1" x14ac:dyDescent="0.2">
      <c r="A230" s="959"/>
      <c r="B230" s="1565" t="s">
        <v>1561</v>
      </c>
      <c r="C230" s="1549">
        <v>0</v>
      </c>
      <c r="D230" s="1547"/>
      <c r="E230" s="1546">
        <f t="shared" si="102"/>
        <v>0</v>
      </c>
    </row>
    <row r="231" spans="1:5" ht="12" customHeight="1" x14ac:dyDescent="0.2">
      <c r="A231" s="959"/>
      <c r="B231" s="1565" t="s">
        <v>1562</v>
      </c>
      <c r="C231" s="1549">
        <v>1.8538612618122896E-4</v>
      </c>
      <c r="D231" s="1547"/>
      <c r="E231" s="1546">
        <f t="shared" si="102"/>
        <v>5.1722729204562879E-3</v>
      </c>
    </row>
    <row r="232" spans="1:5" ht="12" customHeight="1" x14ac:dyDescent="0.2">
      <c r="A232" s="959"/>
      <c r="B232" s="1566" t="s">
        <v>1565</v>
      </c>
      <c r="C232" s="1567">
        <f>SUM(C233:C235)</f>
        <v>4.0384613753688889E-3</v>
      </c>
      <c r="D232" s="1568"/>
      <c r="E232" s="1564">
        <f t="shared" ref="E232:E235" si="103">C232*$Z$8</f>
        <v>1.1024999554757067</v>
      </c>
    </row>
    <row r="233" spans="1:5" ht="12" customHeight="1" x14ac:dyDescent="0.2">
      <c r="A233" s="959"/>
      <c r="B233" s="1565" t="s">
        <v>440</v>
      </c>
      <c r="C233" s="1549">
        <v>7.415140113793511E-4</v>
      </c>
      <c r="D233" s="1547"/>
      <c r="E233" s="1546">
        <f t="shared" si="103"/>
        <v>0.20243332510656284</v>
      </c>
    </row>
    <row r="234" spans="1:5" ht="12" customHeight="1" x14ac:dyDescent="0.2">
      <c r="A234" s="959"/>
      <c r="B234" s="1565" t="s">
        <v>1560</v>
      </c>
      <c r="C234" s="1549">
        <v>3.2892701263100908E-3</v>
      </c>
      <c r="D234" s="1547"/>
      <c r="E234" s="1546">
        <f t="shared" si="103"/>
        <v>0.89797074448265479</v>
      </c>
    </row>
    <row r="235" spans="1:5" ht="12" customHeight="1" x14ac:dyDescent="0.2">
      <c r="A235" s="959"/>
      <c r="B235" s="1565" t="s">
        <v>1562</v>
      </c>
      <c r="C235" s="1549">
        <v>7.6772376794470732E-6</v>
      </c>
      <c r="D235" s="1547"/>
      <c r="E235" s="1546">
        <f t="shared" si="103"/>
        <v>2.095885886489051E-3</v>
      </c>
    </row>
    <row r="236" spans="1:5" ht="12.75" customHeight="1" x14ac:dyDescent="0.2">
      <c r="A236" s="959"/>
      <c r="B236" s="1543"/>
      <c r="C236" s="959"/>
      <c r="D236" s="1569"/>
      <c r="E236" s="1570"/>
    </row>
    <row r="237" spans="1:5" ht="24.75" customHeight="1" x14ac:dyDescent="0.2">
      <c r="A237" s="959"/>
      <c r="B237" s="1558" t="s">
        <v>1566</v>
      </c>
      <c r="C237" s="1571">
        <v>2006</v>
      </c>
      <c r="D237" s="1572"/>
      <c r="E237" s="1573"/>
    </row>
    <row r="238" spans="1:5" ht="12" customHeight="1" x14ac:dyDescent="0.2">
      <c r="A238" s="959"/>
      <c r="B238" s="1561" t="s">
        <v>1567</v>
      </c>
      <c r="C238" s="1574">
        <f>SUM(C239:C243)</f>
        <v>2782.4603652163332</v>
      </c>
      <c r="D238" s="1575"/>
      <c r="E238" s="1576"/>
    </row>
    <row r="239" spans="1:5" ht="12" customHeight="1" x14ac:dyDescent="0.2">
      <c r="A239" s="959"/>
      <c r="B239" s="1565" t="s">
        <v>1568</v>
      </c>
      <c r="C239" s="1577">
        <f>O116</f>
        <v>724.45278594706372</v>
      </c>
      <c r="D239" s="1578"/>
      <c r="E239" s="1579"/>
    </row>
    <row r="240" spans="1:5" ht="12" customHeight="1" x14ac:dyDescent="0.2">
      <c r="A240" s="959"/>
      <c r="B240" s="1565" t="s">
        <v>1569</v>
      </c>
      <c r="C240" s="1577">
        <f t="shared" ref="C240:C241" si="104">AA90</f>
        <v>402.03381228776044</v>
      </c>
      <c r="D240" s="1578"/>
      <c r="E240" s="1580"/>
    </row>
    <row r="241" spans="1:5" ht="12" customHeight="1" x14ac:dyDescent="0.2">
      <c r="A241" s="959"/>
      <c r="B241" s="1565" t="s">
        <v>1570</v>
      </c>
      <c r="C241" s="1577">
        <f t="shared" si="104"/>
        <v>603.78691717004938</v>
      </c>
      <c r="D241" s="1578"/>
      <c r="E241" s="1580"/>
    </row>
    <row r="242" spans="1:5" ht="12" customHeight="1" x14ac:dyDescent="0.2">
      <c r="A242" s="959"/>
      <c r="B242" s="1565" t="s">
        <v>1571</v>
      </c>
      <c r="C242" s="1577">
        <v>0</v>
      </c>
      <c r="D242" s="1578"/>
      <c r="E242" s="1579"/>
    </row>
    <row r="243" spans="1:5" ht="12" customHeight="1" x14ac:dyDescent="0.2">
      <c r="A243" s="959"/>
      <c r="B243" s="1565" t="s">
        <v>1572</v>
      </c>
      <c r="C243" s="1577">
        <f>G184</f>
        <v>1052.1868498114598</v>
      </c>
      <c r="D243" s="1578"/>
      <c r="E243" s="1579"/>
    </row>
    <row r="244" spans="1:5" ht="12" customHeight="1" x14ac:dyDescent="0.2">
      <c r="A244" s="959"/>
      <c r="B244" s="1561" t="s">
        <v>1573</v>
      </c>
      <c r="C244" s="1574">
        <f>SUM(C245:C247)</f>
        <v>506.80976109375757</v>
      </c>
      <c r="D244" s="1575"/>
      <c r="E244" s="1576"/>
    </row>
    <row r="245" spans="1:5" ht="12" customHeight="1" x14ac:dyDescent="0.2">
      <c r="A245" s="959"/>
      <c r="B245" s="1565" t="s">
        <v>1568</v>
      </c>
      <c r="C245" s="1577">
        <f>Q116</f>
        <v>80.53693967673783</v>
      </c>
      <c r="D245" s="1578"/>
      <c r="E245" s="1579"/>
    </row>
    <row r="246" spans="1:5" ht="12" customHeight="1" x14ac:dyDescent="0.2">
      <c r="A246" s="959"/>
      <c r="B246" s="1565" t="s">
        <v>1572</v>
      </c>
      <c r="C246" s="1577">
        <f>G181</f>
        <v>123.89220921361432</v>
      </c>
      <c r="D246" s="1578"/>
      <c r="E246" s="1579"/>
    </row>
    <row r="247" spans="1:5" ht="12" customHeight="1" x14ac:dyDescent="0.2">
      <c r="A247" s="959"/>
      <c r="B247" s="1565" t="s">
        <v>1574</v>
      </c>
      <c r="C247" s="1577">
        <f>+O181</f>
        <v>302.38061220340541</v>
      </c>
      <c r="D247" s="1578"/>
      <c r="E247" s="1579"/>
    </row>
    <row r="248" spans="1:5" ht="12" customHeight="1" x14ac:dyDescent="0.2">
      <c r="A248" s="959"/>
      <c r="B248" s="1581" t="s">
        <v>1523</v>
      </c>
      <c r="C248" s="1577">
        <f t="shared" ref="C248:C249" si="105">O182</f>
        <v>163.00187683808937</v>
      </c>
      <c r="D248" s="1578"/>
      <c r="E248" s="1579"/>
    </row>
    <row r="249" spans="1:5" ht="12" customHeight="1" x14ac:dyDescent="0.2">
      <c r="A249" s="959"/>
      <c r="B249" s="1581" t="s">
        <v>1525</v>
      </c>
      <c r="C249" s="1577">
        <f t="shared" si="105"/>
        <v>139.37873536531609</v>
      </c>
      <c r="D249" s="1578"/>
      <c r="E249" s="1579"/>
    </row>
    <row r="250" spans="1:5" ht="12.75" customHeight="1" x14ac:dyDescent="0.2">
      <c r="A250" s="959"/>
      <c r="B250" s="1554" t="s">
        <v>907</v>
      </c>
      <c r="C250" s="1582">
        <f>C244+C238</f>
        <v>3289.2701263100907</v>
      </c>
      <c r="D250" s="1583"/>
      <c r="E250" s="1584"/>
    </row>
    <row r="251" spans="1:5" ht="12" customHeight="1" x14ac:dyDescent="0.2">
      <c r="A251" s="959"/>
      <c r="B251" s="959"/>
      <c r="C251" s="959"/>
      <c r="D251" s="959"/>
      <c r="E251" s="959"/>
    </row>
    <row r="252" spans="1:5" ht="11.25" customHeight="1" x14ac:dyDescent="0.2"/>
    <row r="253" spans="1:5" ht="11.25" customHeight="1" x14ac:dyDescent="0.2"/>
    <row r="254" spans="1:5" ht="11.25" customHeight="1" x14ac:dyDescent="0.2"/>
    <row r="255" spans="1:5" ht="11.25" customHeight="1" x14ac:dyDescent="0.2"/>
    <row r="256" spans="1:5"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sheetData>
  <mergeCells count="15">
    <mergeCell ref="CB147:CC147"/>
    <mergeCell ref="C181:E181"/>
    <mergeCell ref="C184:E184"/>
    <mergeCell ref="B2:S2"/>
    <mergeCell ref="Y4:Z4"/>
    <mergeCell ref="AH147:AN147"/>
    <mergeCell ref="AP147:AS147"/>
    <mergeCell ref="AU147:AV147"/>
    <mergeCell ref="AX147:AY147"/>
    <mergeCell ref="BA147:BF147"/>
    <mergeCell ref="BH147:BL147"/>
    <mergeCell ref="BN147:BO147"/>
    <mergeCell ref="BQ147:BS147"/>
    <mergeCell ref="BU147:BW147"/>
    <mergeCell ref="BY147:BZ147"/>
  </mergeCells>
  <pageMargins left="0.7" right="0.7" top="0.75" bottom="0.75" header="0" footer="0"/>
  <pageSetup orientation="landscape"/>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B2:G1000"/>
  <sheetViews>
    <sheetView workbookViewId="0"/>
  </sheetViews>
  <sheetFormatPr defaultColWidth="16.83203125" defaultRowHeight="15" customHeight="1" x14ac:dyDescent="0.2"/>
  <cols>
    <col min="1" max="6" width="16.83203125" customWidth="1"/>
  </cols>
  <sheetData>
    <row r="2" spans="2:7" ht="23.25" x14ac:dyDescent="0.35">
      <c r="B2" s="1075" t="s">
        <v>1020</v>
      </c>
      <c r="C2" s="1076"/>
      <c r="D2" s="1076"/>
      <c r="E2" s="1076"/>
      <c r="F2" s="992"/>
      <c r="G2" s="992"/>
    </row>
    <row r="3" spans="2:7" x14ac:dyDescent="0.25">
      <c r="B3" s="992"/>
      <c r="C3" s="992"/>
      <c r="D3" s="992"/>
      <c r="E3" s="992"/>
      <c r="F3" s="992"/>
      <c r="G3" s="992"/>
    </row>
    <row r="4" spans="2:7" ht="28.5" x14ac:dyDescent="0.3">
      <c r="B4" s="1082" t="s">
        <v>655</v>
      </c>
      <c r="C4" s="1083"/>
      <c r="D4" s="1082" t="s">
        <v>1029</v>
      </c>
      <c r="E4" s="1082" t="s">
        <v>354</v>
      </c>
      <c r="F4" s="1082" t="s">
        <v>977</v>
      </c>
      <c r="G4" s="1082" t="s">
        <v>977</v>
      </c>
    </row>
    <row r="5" spans="2:7" ht="15.75" x14ac:dyDescent="0.3">
      <c r="B5" s="1083"/>
      <c r="C5" s="1083"/>
      <c r="D5" s="1082" t="s">
        <v>882</v>
      </c>
      <c r="E5" s="1082" t="s">
        <v>1030</v>
      </c>
      <c r="F5" s="1082" t="s">
        <v>1031</v>
      </c>
      <c r="G5" s="1082" t="s">
        <v>564</v>
      </c>
    </row>
    <row r="6" spans="2:7" x14ac:dyDescent="0.25">
      <c r="B6" s="992"/>
      <c r="C6" s="992"/>
      <c r="D6" s="992"/>
      <c r="E6" s="992"/>
      <c r="F6" s="992"/>
      <c r="G6" s="992"/>
    </row>
    <row r="7" spans="2:7" ht="15.75" x14ac:dyDescent="0.3">
      <c r="B7" s="1092">
        <v>2006</v>
      </c>
      <c r="C7" s="992"/>
      <c r="D7" s="1094">
        <v>7020</v>
      </c>
      <c r="E7" s="1095">
        <v>0.2</v>
      </c>
      <c r="F7" s="1099">
        <f>D7*E7*(44/12)</f>
        <v>5148</v>
      </c>
      <c r="G7" s="1101">
        <f>F7/1000000</f>
        <v>5.1479999999999998E-3</v>
      </c>
    </row>
    <row r="8" spans="2:7" x14ac:dyDescent="0.25">
      <c r="B8" s="992"/>
      <c r="C8" s="992"/>
      <c r="D8" s="992"/>
      <c r="E8" s="992"/>
      <c r="F8" s="992"/>
      <c r="G8" s="992"/>
    </row>
    <row r="9" spans="2:7" x14ac:dyDescent="0.25">
      <c r="B9" s="992"/>
      <c r="C9" s="992"/>
      <c r="D9" s="992"/>
      <c r="E9" s="992"/>
      <c r="F9" s="992"/>
      <c r="G9" s="992"/>
    </row>
    <row r="10" spans="2:7" x14ac:dyDescent="0.25">
      <c r="B10" s="1103"/>
      <c r="C10" s="1103"/>
      <c r="D10" s="1103"/>
      <c r="E10" s="1103"/>
      <c r="F10" s="1103"/>
      <c r="G10" s="1103"/>
    </row>
    <row r="11" spans="2:7" x14ac:dyDescent="0.25">
      <c r="B11" s="992"/>
      <c r="C11" s="992"/>
      <c r="D11" s="992"/>
      <c r="E11" s="992"/>
      <c r="F11" s="992"/>
      <c r="G11" s="992"/>
    </row>
    <row r="12" spans="2:7" ht="11.25" x14ac:dyDescent="0.2">
      <c r="B12" s="1839" t="s">
        <v>1041</v>
      </c>
      <c r="C12" s="1840"/>
      <c r="D12" s="1840"/>
      <c r="E12" s="1840"/>
      <c r="F12" s="1840"/>
      <c r="G12" s="1759"/>
    </row>
    <row r="13" spans="2:7" x14ac:dyDescent="0.25">
      <c r="B13" s="992"/>
      <c r="C13" s="992"/>
      <c r="D13" s="992"/>
      <c r="E13" s="1103"/>
      <c r="F13" s="1103"/>
      <c r="G13" s="1103"/>
    </row>
    <row r="14" spans="2:7" ht="23.25" x14ac:dyDescent="0.35">
      <c r="B14" s="1104" t="s">
        <v>1042</v>
      </c>
      <c r="C14" s="1083"/>
      <c r="D14" s="1083"/>
      <c r="E14" s="1083"/>
      <c r="F14" s="992"/>
      <c r="G14" s="992"/>
    </row>
    <row r="15" spans="2:7" x14ac:dyDescent="0.25">
      <c r="B15" s="992"/>
      <c r="C15" s="992"/>
      <c r="D15" s="992"/>
      <c r="E15" s="992"/>
      <c r="F15" s="992"/>
      <c r="G15" s="992"/>
    </row>
    <row r="16" spans="2:7" ht="38.25" x14ac:dyDescent="0.25">
      <c r="B16" s="1105" t="s">
        <v>655</v>
      </c>
      <c r="C16" s="1106"/>
      <c r="D16" s="1105" t="s">
        <v>1044</v>
      </c>
      <c r="E16" s="1105" t="s">
        <v>354</v>
      </c>
      <c r="F16" s="1105" t="s">
        <v>977</v>
      </c>
      <c r="G16" s="1105" t="s">
        <v>1045</v>
      </c>
    </row>
    <row r="17" spans="2:7" ht="25.5" x14ac:dyDescent="0.25">
      <c r="B17" s="1106"/>
      <c r="C17" s="1106"/>
      <c r="D17" s="1105" t="s">
        <v>1046</v>
      </c>
      <c r="E17" s="1105" t="s">
        <v>1047</v>
      </c>
      <c r="F17" s="1105" t="s">
        <v>1031</v>
      </c>
      <c r="G17" s="1105" t="s">
        <v>564</v>
      </c>
    </row>
    <row r="18" spans="2:7" x14ac:dyDescent="0.25">
      <c r="B18" s="992"/>
      <c r="C18" s="992"/>
      <c r="D18" s="992"/>
      <c r="E18" s="992"/>
      <c r="F18" s="992"/>
      <c r="G18" s="1107"/>
    </row>
    <row r="19" spans="2:7" ht="12.75" x14ac:dyDescent="0.25">
      <c r="B19" s="1108">
        <v>2006</v>
      </c>
      <c r="C19" s="1109" t="s">
        <v>934</v>
      </c>
      <c r="D19" s="1110">
        <v>459.67</v>
      </c>
      <c r="E19" s="1111">
        <v>5.8999999999999997E-2</v>
      </c>
      <c r="F19" s="1112">
        <f t="shared" ref="F19:F20" si="0">D19*E19*(44/12)*1000</f>
        <v>99441.943333333329</v>
      </c>
      <c r="G19" s="1113">
        <f t="shared" ref="G19:G20" si="1">F19/1000000</f>
        <v>9.9441943333333324E-2</v>
      </c>
    </row>
    <row r="20" spans="2:7" ht="12.75" x14ac:dyDescent="0.25">
      <c r="B20" s="1108">
        <v>2006</v>
      </c>
      <c r="C20" s="1109" t="s">
        <v>936</v>
      </c>
      <c r="D20" s="1110">
        <v>75.97</v>
      </c>
      <c r="E20" s="1111">
        <v>6.4000000000000001E-2</v>
      </c>
      <c r="F20" s="1117">
        <f t="shared" si="0"/>
        <v>17827.626666666663</v>
      </c>
      <c r="G20" s="1121">
        <f t="shared" si="1"/>
        <v>1.7827626666666662E-2</v>
      </c>
    </row>
    <row r="21" spans="2:7" ht="15.75" customHeight="1" x14ac:dyDescent="0.2">
      <c r="B21" s="1123"/>
      <c r="C21" s="1123"/>
      <c r="D21" s="1123"/>
      <c r="E21" s="1123"/>
      <c r="F21" s="1123"/>
      <c r="G21" s="1126">
        <f>G19+G20</f>
        <v>0.11726956999999999</v>
      </c>
    </row>
    <row r="22" spans="2:7" ht="15.75" customHeight="1" x14ac:dyDescent="0.2"/>
    <row r="23" spans="2:7" ht="15.75" customHeight="1" x14ac:dyDescent="0.2"/>
    <row r="24" spans="2:7" ht="15.75" customHeight="1" x14ac:dyDescent="0.2"/>
    <row r="25" spans="2:7" ht="15.75" customHeight="1" x14ac:dyDescent="0.2"/>
    <row r="26" spans="2:7" ht="15.75" customHeight="1" x14ac:dyDescent="0.2"/>
    <row r="27" spans="2:7" ht="15.75" customHeight="1" x14ac:dyDescent="0.2"/>
    <row r="28" spans="2:7" ht="15.75" customHeight="1" x14ac:dyDescent="0.2"/>
    <row r="29" spans="2:7" ht="15.75" customHeight="1" x14ac:dyDescent="0.2"/>
    <row r="30" spans="2:7" ht="15.75" customHeight="1" x14ac:dyDescent="0.2"/>
    <row r="31" spans="2:7" ht="15.75" customHeight="1" x14ac:dyDescent="0.2"/>
    <row r="32" spans="2:7"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B12:G12"/>
  </mergeCell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000"/>
  <sheetViews>
    <sheetView workbookViewId="0"/>
  </sheetViews>
  <sheetFormatPr defaultColWidth="16.83203125" defaultRowHeight="15" customHeight="1" x14ac:dyDescent="0.2"/>
  <cols>
    <col min="1" max="1" width="8" customWidth="1"/>
    <col min="2" max="2" width="35.6640625" customWidth="1"/>
    <col min="3" max="3" width="21.6640625" customWidth="1"/>
    <col min="4" max="4" width="15.6640625" customWidth="1"/>
    <col min="5" max="5" width="16.1640625" customWidth="1"/>
    <col min="6" max="6" width="17.1640625" customWidth="1"/>
    <col min="7" max="7" width="19.1640625" customWidth="1"/>
    <col min="8" max="8" width="14.5" customWidth="1"/>
    <col min="9" max="9" width="19.83203125" customWidth="1"/>
    <col min="10" max="10" width="25.5" customWidth="1"/>
    <col min="11" max="11" width="8" customWidth="1"/>
  </cols>
  <sheetData>
    <row r="1" spans="1:11" ht="33" customHeight="1" x14ac:dyDescent="0.45">
      <c r="A1" s="11" t="s">
        <v>1028</v>
      </c>
      <c r="B1" s="13"/>
      <c r="C1" s="16"/>
      <c r="G1" s="24"/>
      <c r="H1" s="24"/>
    </row>
    <row r="2" spans="1:11" ht="54" customHeight="1" x14ac:dyDescent="0.2"/>
    <row r="3" spans="1:11" ht="12" customHeight="1" x14ac:dyDescent="0.2"/>
    <row r="4" spans="1:11" ht="12" customHeight="1" x14ac:dyDescent="0.2">
      <c r="B4" s="26"/>
      <c r="C4" s="31"/>
      <c r="D4" s="31"/>
      <c r="E4" s="31">
        <v>2006</v>
      </c>
      <c r="F4" s="31"/>
      <c r="G4" s="31"/>
      <c r="H4" s="31"/>
      <c r="I4" s="31"/>
      <c r="J4" s="31"/>
      <c r="K4" s="28"/>
    </row>
    <row r="5" spans="1:11" ht="12" customHeight="1" x14ac:dyDescent="0.2">
      <c r="B5" s="49"/>
      <c r="C5" s="24"/>
      <c r="D5" s="24"/>
      <c r="E5" s="24"/>
      <c r="F5" s="24"/>
      <c r="G5" s="24"/>
      <c r="H5" s="24"/>
      <c r="I5" s="24"/>
      <c r="J5" s="24"/>
      <c r="K5" s="86"/>
    </row>
    <row r="6" spans="1:11" ht="15" customHeight="1" x14ac:dyDescent="0.25">
      <c r="B6" s="1086"/>
      <c r="C6" s="1088"/>
      <c r="D6" s="1089" t="s">
        <v>1032</v>
      </c>
      <c r="E6" s="1089" t="s">
        <v>1033</v>
      </c>
      <c r="F6" s="1089" t="s">
        <v>1034</v>
      </c>
      <c r="G6" s="1089" t="s">
        <v>1035</v>
      </c>
      <c r="H6" s="1089" t="s">
        <v>95</v>
      </c>
      <c r="I6" s="1089" t="s">
        <v>1036</v>
      </c>
      <c r="J6" s="1089" t="s">
        <v>1037</v>
      </c>
      <c r="K6" s="46"/>
    </row>
    <row r="7" spans="1:11" ht="11.25" customHeight="1" x14ac:dyDescent="0.2">
      <c r="B7" s="49"/>
      <c r="C7" s="24"/>
      <c r="D7" s="24"/>
      <c r="E7" s="24"/>
      <c r="F7" s="24"/>
      <c r="G7" s="24"/>
      <c r="H7" s="24" t="s">
        <v>41</v>
      </c>
      <c r="I7" s="24" t="s">
        <v>227</v>
      </c>
      <c r="J7" s="24"/>
      <c r="K7" s="86"/>
    </row>
    <row r="8" spans="1:11" ht="11.25" customHeight="1" x14ac:dyDescent="0.2">
      <c r="B8" s="49" t="s">
        <v>1038</v>
      </c>
      <c r="C8" s="24" t="s">
        <v>1039</v>
      </c>
      <c r="D8" s="1096">
        <v>1219.623</v>
      </c>
      <c r="E8" s="1096">
        <v>1080.3869999999999</v>
      </c>
      <c r="F8" s="1096">
        <v>334.29849999999999</v>
      </c>
      <c r="G8" s="1096">
        <v>379.18600000000004</v>
      </c>
      <c r="H8" s="84">
        <f>D8+E8+F8+G8</f>
        <v>3013.4945000000002</v>
      </c>
      <c r="I8" s="167">
        <f>H8*C26*C28*0.001102</f>
        <v>2996.9697919646346</v>
      </c>
      <c r="J8" s="1102">
        <v>26155300</v>
      </c>
      <c r="K8" s="86"/>
    </row>
    <row r="9" spans="1:11" ht="11.25" customHeight="1" x14ac:dyDescent="0.2">
      <c r="B9" s="49"/>
      <c r="C9" s="24"/>
      <c r="D9" s="24"/>
      <c r="E9" s="24"/>
      <c r="F9" s="24"/>
      <c r="G9" s="24"/>
      <c r="H9" s="84"/>
      <c r="I9" s="24"/>
      <c r="J9" s="24"/>
      <c r="K9" s="86"/>
    </row>
    <row r="10" spans="1:11" ht="11.25" customHeight="1" x14ac:dyDescent="0.2">
      <c r="B10" s="49" t="s">
        <v>1040</v>
      </c>
      <c r="C10" s="24" t="s">
        <v>1039</v>
      </c>
      <c r="D10" s="1096"/>
      <c r="E10" s="1096"/>
      <c r="F10" s="24"/>
      <c r="G10" s="24"/>
      <c r="H10" s="84">
        <v>116483</v>
      </c>
      <c r="I10" s="167">
        <f>H10*C26*C28*0.001102</f>
        <v>115844.25731568997</v>
      </c>
      <c r="J10" s="1102">
        <v>9577100</v>
      </c>
      <c r="K10" s="86"/>
    </row>
    <row r="11" spans="1:11" ht="11.25" customHeight="1" x14ac:dyDescent="0.2">
      <c r="B11" s="49"/>
      <c r="C11" s="24"/>
      <c r="D11" s="24"/>
      <c r="E11" s="24"/>
      <c r="F11" s="24"/>
      <c r="G11" s="24"/>
      <c r="H11" s="84"/>
      <c r="I11" s="24"/>
      <c r="J11" s="24"/>
      <c r="K11" s="86"/>
    </row>
    <row r="12" spans="1:11" ht="11.25" customHeight="1" x14ac:dyDescent="0.2">
      <c r="B12" s="49" t="s">
        <v>1043</v>
      </c>
      <c r="C12" s="24" t="s">
        <v>1039</v>
      </c>
      <c r="D12" s="1096">
        <v>207388</v>
      </c>
      <c r="E12" s="1096">
        <v>194349</v>
      </c>
      <c r="F12" s="1096">
        <v>217351</v>
      </c>
      <c r="G12" s="24"/>
      <c r="H12" s="84">
        <f>SUM(D12:G12)</f>
        <v>619088</v>
      </c>
      <c r="I12" s="167">
        <f>H12*C26*C28*0.001102</f>
        <v>615693.18761583988</v>
      </c>
      <c r="J12" s="1102">
        <v>26155300</v>
      </c>
      <c r="K12" s="86"/>
    </row>
    <row r="13" spans="1:11" ht="11.25" customHeight="1" x14ac:dyDescent="0.2">
      <c r="B13" s="49"/>
      <c r="C13" s="24"/>
      <c r="D13" s="24"/>
      <c r="E13" s="24"/>
      <c r="F13" s="24"/>
      <c r="G13" s="24"/>
      <c r="H13" s="84"/>
      <c r="I13" s="24"/>
      <c r="J13" s="24"/>
      <c r="K13" s="86"/>
    </row>
    <row r="14" spans="1:11" ht="11.25" customHeight="1" x14ac:dyDescent="0.2">
      <c r="B14" s="49" t="s">
        <v>1048</v>
      </c>
      <c r="C14" s="24" t="s">
        <v>1039</v>
      </c>
      <c r="D14" s="1096">
        <v>219952</v>
      </c>
      <c r="E14" s="1096">
        <v>225614.5</v>
      </c>
      <c r="F14" s="1096">
        <v>225917.2</v>
      </c>
      <c r="G14" s="1096"/>
      <c r="H14" s="84">
        <f>D14+E14+F14</f>
        <v>671483.7</v>
      </c>
      <c r="I14" s="167">
        <f>H14*C26*C28*0.001102</f>
        <v>667801.572127191</v>
      </c>
      <c r="J14" s="1102">
        <v>16300000</v>
      </c>
      <c r="K14" s="86"/>
    </row>
    <row r="15" spans="1:11" ht="11.25" customHeight="1" x14ac:dyDescent="0.2">
      <c r="B15" s="49"/>
      <c r="C15" s="24"/>
      <c r="D15" s="24"/>
      <c r="E15" s="24"/>
      <c r="F15" s="24"/>
      <c r="G15" s="24"/>
      <c r="H15" s="84"/>
      <c r="I15" s="24"/>
      <c r="J15" s="24"/>
      <c r="K15" s="86"/>
    </row>
    <row r="16" spans="1:11" ht="12.75" customHeight="1" x14ac:dyDescent="0.2">
      <c r="B16" s="49"/>
      <c r="C16" s="24"/>
      <c r="D16" s="24"/>
      <c r="E16" s="24"/>
      <c r="F16" s="24"/>
      <c r="G16" s="1114" t="s">
        <v>95</v>
      </c>
      <c r="H16" s="1119">
        <f t="shared" ref="H16:J16" si="0">SUM(H8:H15)</f>
        <v>1410068.1945</v>
      </c>
      <c r="I16" s="1122">
        <f t="shared" si="0"/>
        <v>1402335.9868506854</v>
      </c>
      <c r="J16" s="1122">
        <f t="shared" si="0"/>
        <v>78187700</v>
      </c>
      <c r="K16" s="86"/>
    </row>
    <row r="17" spans="2:11" ht="11.25" customHeight="1" x14ac:dyDescent="0.2">
      <c r="B17" s="49"/>
      <c r="C17" s="24"/>
      <c r="D17" s="24"/>
      <c r="E17" s="24"/>
      <c r="F17" s="24"/>
      <c r="G17" s="24"/>
      <c r="H17" s="24"/>
      <c r="I17" s="24"/>
      <c r="J17" s="24"/>
      <c r="K17" s="86"/>
    </row>
    <row r="18" spans="2:11" ht="11.25" customHeight="1" x14ac:dyDescent="0.2">
      <c r="B18" s="49"/>
      <c r="C18" s="24" t="s">
        <v>1049</v>
      </c>
      <c r="D18" s="24"/>
      <c r="E18" s="24"/>
      <c r="F18" s="24"/>
      <c r="G18" s="24"/>
      <c r="H18" s="24" t="s">
        <v>1050</v>
      </c>
      <c r="I18" s="99">
        <f>I16*0.90718</f>
        <v>1272171.1605512048</v>
      </c>
      <c r="J18" s="24"/>
      <c r="K18" s="86"/>
    </row>
    <row r="19" spans="2:11" ht="11.25" customHeight="1" x14ac:dyDescent="0.2">
      <c r="B19" s="49"/>
      <c r="C19" s="24"/>
      <c r="D19" s="24"/>
      <c r="E19" s="24"/>
      <c r="F19" s="24"/>
      <c r="G19" s="24"/>
      <c r="H19" s="24"/>
      <c r="I19" s="24"/>
      <c r="J19" s="24"/>
      <c r="K19" s="86"/>
    </row>
    <row r="20" spans="2:11" ht="12" customHeight="1" x14ac:dyDescent="0.2">
      <c r="B20" s="72"/>
      <c r="C20" s="74"/>
      <c r="D20" s="74"/>
      <c r="E20" s="74"/>
      <c r="F20" s="74"/>
      <c r="G20" s="74"/>
      <c r="H20" s="74" t="s">
        <v>1051</v>
      </c>
      <c r="I20" s="1129">
        <f>I18/1000000</f>
        <v>1.2721711605512047</v>
      </c>
      <c r="J20" s="74"/>
      <c r="K20" s="1130"/>
    </row>
    <row r="21" spans="2:11" ht="11.25" customHeight="1" x14ac:dyDescent="0.2">
      <c r="B21" s="49"/>
      <c r="C21" s="24"/>
      <c r="D21" s="24"/>
      <c r="E21" s="24"/>
      <c r="F21" s="24"/>
      <c r="G21" s="24"/>
      <c r="H21" s="24"/>
      <c r="I21" s="24"/>
      <c r="J21" s="24"/>
      <c r="K21" s="86"/>
    </row>
    <row r="22" spans="2:11" ht="11.25" customHeight="1" x14ac:dyDescent="0.2">
      <c r="B22" s="49"/>
      <c r="C22" s="24"/>
      <c r="D22" s="24"/>
      <c r="E22" s="24"/>
      <c r="F22" s="24"/>
      <c r="G22" s="24"/>
      <c r="H22" s="24"/>
      <c r="I22" s="24"/>
      <c r="J22" s="24"/>
      <c r="K22" s="86"/>
    </row>
    <row r="23" spans="2:11" ht="11.25" customHeight="1" x14ac:dyDescent="0.2">
      <c r="B23" s="49"/>
      <c r="C23" s="24"/>
      <c r="D23" s="24"/>
      <c r="E23" s="24"/>
      <c r="F23" s="24"/>
      <c r="G23" s="24"/>
      <c r="H23" s="24"/>
      <c r="I23" s="24"/>
      <c r="J23" s="24"/>
      <c r="K23" s="86"/>
    </row>
    <row r="24" spans="2:11" ht="12.75" customHeight="1" x14ac:dyDescent="0.2">
      <c r="B24" s="1132" t="s">
        <v>1052</v>
      </c>
      <c r="C24" s="1102"/>
      <c r="D24" s="1102"/>
      <c r="E24" s="1133" t="s">
        <v>63</v>
      </c>
      <c r="F24" s="24"/>
      <c r="G24" s="24"/>
      <c r="H24" s="24"/>
      <c r="I24" s="24"/>
      <c r="J24" s="24"/>
      <c r="K24" s="86"/>
    </row>
    <row r="25" spans="2:11" ht="11.25" customHeight="1" x14ac:dyDescent="0.2">
      <c r="B25" s="49"/>
      <c r="C25" s="1102"/>
      <c r="D25" s="1102"/>
      <c r="E25" s="1102"/>
      <c r="F25" s="24"/>
      <c r="G25" s="24"/>
      <c r="H25" s="24"/>
      <c r="I25" s="24"/>
      <c r="J25" s="24"/>
      <c r="K25" s="86"/>
    </row>
    <row r="26" spans="2:11" ht="11.25" customHeight="1" x14ac:dyDescent="0.2">
      <c r="B26" s="49" t="s">
        <v>1053</v>
      </c>
      <c r="C26" s="186">
        <v>9.9499999999999993</v>
      </c>
      <c r="D26" s="186"/>
      <c r="E26" s="1102">
        <v>1.0280000000000001E-3</v>
      </c>
      <c r="F26" s="24"/>
      <c r="G26" s="24"/>
      <c r="H26" s="24"/>
      <c r="I26" s="24"/>
      <c r="J26" s="24"/>
      <c r="K26" s="86"/>
    </row>
    <row r="27" spans="2:11" ht="11.25" customHeight="1" x14ac:dyDescent="0.2">
      <c r="B27" s="49"/>
      <c r="C27" s="1102"/>
      <c r="D27" s="1102"/>
      <c r="E27" s="1102"/>
      <c r="F27" s="24"/>
      <c r="G27" s="24"/>
      <c r="H27" s="24"/>
      <c r="I27" s="24"/>
      <c r="J27" s="24"/>
      <c r="K27" s="86"/>
    </row>
    <row r="28" spans="2:11" ht="15.75" customHeight="1" x14ac:dyDescent="0.3">
      <c r="B28" s="49" t="s">
        <v>1054</v>
      </c>
      <c r="C28" s="55">
        <v>90.7</v>
      </c>
      <c r="D28" s="55"/>
      <c r="E28" s="186">
        <v>53.02</v>
      </c>
      <c r="F28" s="24"/>
      <c r="G28" s="24"/>
      <c r="H28" s="24"/>
      <c r="I28" s="24"/>
      <c r="J28" s="24"/>
      <c r="K28" s="86"/>
    </row>
    <row r="29" spans="2:11" ht="11.25" customHeight="1" x14ac:dyDescent="0.2">
      <c r="B29" s="49"/>
      <c r="C29" s="1102"/>
      <c r="D29" s="1102"/>
      <c r="E29" s="1102"/>
      <c r="F29" s="24"/>
      <c r="G29" s="24"/>
      <c r="H29" s="24"/>
      <c r="I29" s="24"/>
      <c r="J29" s="24"/>
      <c r="K29" s="86"/>
    </row>
    <row r="30" spans="2:11" ht="15.75" customHeight="1" x14ac:dyDescent="0.3">
      <c r="B30" s="49" t="s">
        <v>1055</v>
      </c>
      <c r="C30" s="167">
        <f>H16*C26*C28*0.001102</f>
        <v>1402335.9868506854</v>
      </c>
      <c r="D30" s="162"/>
      <c r="E30" s="1135">
        <f>J16*E26*E28*0.001102</f>
        <v>4696.267976875024</v>
      </c>
      <c r="F30" s="1135"/>
      <c r="G30" s="24"/>
      <c r="H30" s="24"/>
      <c r="I30" s="24"/>
      <c r="J30" s="24"/>
      <c r="K30" s="86"/>
    </row>
    <row r="31" spans="2:11" ht="11.25" customHeight="1" x14ac:dyDescent="0.2">
      <c r="B31" s="49"/>
      <c r="C31" s="24"/>
      <c r="D31" s="24"/>
      <c r="E31" s="24"/>
      <c r="F31" s="24"/>
      <c r="G31" s="24"/>
      <c r="H31" s="24"/>
      <c r="I31" s="24"/>
      <c r="J31" s="24"/>
      <c r="K31" s="86"/>
    </row>
    <row r="32" spans="2:11" ht="15.75" customHeight="1" x14ac:dyDescent="0.3">
      <c r="B32" s="49" t="s">
        <v>1056</v>
      </c>
      <c r="C32" s="1135">
        <f>C30*0.90718</f>
        <v>1272171.1605512048</v>
      </c>
      <c r="D32" s="24"/>
      <c r="E32" s="109">
        <f>E30*0.90718</f>
        <v>4260.3603832614845</v>
      </c>
      <c r="F32" s="24"/>
      <c r="G32" s="24"/>
      <c r="H32" s="24"/>
      <c r="I32" s="24"/>
      <c r="J32" s="24"/>
      <c r="K32" s="86"/>
    </row>
    <row r="33" spans="2:11" ht="11.25" customHeight="1" x14ac:dyDescent="0.2">
      <c r="B33" s="49"/>
      <c r="C33" s="24"/>
      <c r="D33" s="24"/>
      <c r="E33" s="24"/>
      <c r="F33" s="24"/>
      <c r="G33" s="24"/>
      <c r="H33" s="24"/>
      <c r="I33" s="24"/>
      <c r="J33" s="24"/>
      <c r="K33" s="86"/>
    </row>
    <row r="34" spans="2:11" ht="15.75" customHeight="1" x14ac:dyDescent="0.3">
      <c r="B34" s="1137" t="s">
        <v>1057</v>
      </c>
      <c r="C34" s="1138">
        <f>C32/1000000</f>
        <v>1.2721711605512047</v>
      </c>
      <c r="D34" s="90"/>
      <c r="E34" s="1138">
        <f>E32/1000000</f>
        <v>4.2603603832614845E-3</v>
      </c>
      <c r="F34" s="24"/>
      <c r="G34" s="24"/>
      <c r="H34" s="24"/>
      <c r="I34" s="24"/>
      <c r="J34" s="24"/>
      <c r="K34" s="86"/>
    </row>
    <row r="35" spans="2:11" ht="11.25" customHeight="1" x14ac:dyDescent="0.2">
      <c r="B35" s="49"/>
      <c r="C35" s="24"/>
      <c r="D35" s="24"/>
      <c r="E35" s="24"/>
      <c r="F35" s="24"/>
      <c r="G35" s="24"/>
      <c r="H35" s="24"/>
      <c r="I35" s="24"/>
      <c r="J35" s="24"/>
      <c r="K35" s="86"/>
    </row>
    <row r="36" spans="2:11" ht="11.25" customHeight="1" x14ac:dyDescent="0.2">
      <c r="B36" s="49"/>
      <c r="C36" s="24"/>
      <c r="D36" s="24"/>
      <c r="E36" s="24"/>
      <c r="F36" s="24"/>
      <c r="G36" s="24"/>
      <c r="H36" s="24"/>
      <c r="I36" s="24"/>
      <c r="J36" s="24"/>
      <c r="K36" s="86"/>
    </row>
    <row r="37" spans="2:11" ht="11.25" customHeight="1" x14ac:dyDescent="0.2">
      <c r="B37" s="49"/>
      <c r="C37" s="24"/>
      <c r="D37" s="24"/>
      <c r="E37" s="24"/>
      <c r="F37" s="24"/>
      <c r="G37" s="24"/>
      <c r="H37" s="24"/>
      <c r="I37" s="24"/>
      <c r="J37" s="24"/>
      <c r="K37" s="86"/>
    </row>
    <row r="38" spans="2:11" ht="11.25" customHeight="1" x14ac:dyDescent="0.2">
      <c r="B38" s="49"/>
      <c r="C38" s="24"/>
      <c r="D38" s="24"/>
      <c r="E38" s="24"/>
      <c r="F38" s="24"/>
      <c r="G38" s="24"/>
      <c r="H38" s="24"/>
      <c r="I38" s="24"/>
      <c r="J38" s="24"/>
      <c r="K38" s="86"/>
    </row>
    <row r="39" spans="2:11" ht="14.25" customHeight="1" x14ac:dyDescent="0.25">
      <c r="B39" s="49" t="s">
        <v>1059</v>
      </c>
      <c r="C39" s="1102">
        <v>4.1999999999999997E-3</v>
      </c>
      <c r="D39" s="24"/>
      <c r="E39" s="1102">
        <v>1E-4</v>
      </c>
      <c r="F39" s="24"/>
      <c r="G39" s="24"/>
      <c r="H39" s="24"/>
      <c r="I39" s="24"/>
      <c r="J39" s="24"/>
      <c r="K39" s="86"/>
    </row>
    <row r="40" spans="2:11" ht="11.25" customHeight="1" x14ac:dyDescent="0.2">
      <c r="B40" s="49"/>
      <c r="C40" s="24"/>
      <c r="D40" s="24"/>
      <c r="E40" s="24"/>
      <c r="F40" s="24"/>
      <c r="G40" s="24"/>
      <c r="H40" s="24"/>
      <c r="I40" s="24"/>
      <c r="J40" s="24"/>
      <c r="K40" s="86"/>
    </row>
    <row r="41" spans="2:11" ht="15.75" customHeight="1" x14ac:dyDescent="0.3">
      <c r="B41" s="49" t="s">
        <v>1060</v>
      </c>
      <c r="C41" s="1140">
        <f>H16*C26*C39*0.001102</f>
        <v>64.937278332666793</v>
      </c>
      <c r="D41" s="25"/>
      <c r="E41" s="1141">
        <f>J16*E26*E39*0.001102</f>
        <v>8.8575405071200011E-3</v>
      </c>
      <c r="F41" s="25"/>
      <c r="G41" s="24"/>
      <c r="H41" s="24"/>
      <c r="I41" s="24"/>
      <c r="J41" s="24"/>
      <c r="K41" s="86"/>
    </row>
    <row r="42" spans="2:11" ht="12.75" customHeight="1" x14ac:dyDescent="0.2">
      <c r="B42" s="49"/>
      <c r="C42" s="1140"/>
      <c r="D42" s="25"/>
      <c r="E42" s="1141"/>
      <c r="F42" s="25"/>
      <c r="G42" s="24"/>
      <c r="H42" s="24"/>
      <c r="I42" s="24"/>
      <c r="J42" s="24"/>
      <c r="K42" s="86"/>
    </row>
    <row r="43" spans="2:11" ht="15.75" customHeight="1" x14ac:dyDescent="0.3">
      <c r="B43" s="49" t="s">
        <v>1061</v>
      </c>
      <c r="C43" s="1142">
        <f>$C$55</f>
        <v>273</v>
      </c>
      <c r="D43" s="25"/>
      <c r="E43" s="1142">
        <f>$C$55</f>
        <v>273</v>
      </c>
      <c r="F43" s="25"/>
      <c r="G43" s="24"/>
      <c r="H43" s="24"/>
      <c r="I43" s="24"/>
      <c r="J43" s="24"/>
      <c r="K43" s="86"/>
    </row>
    <row r="44" spans="2:11" ht="12.75" customHeight="1" x14ac:dyDescent="0.2">
      <c r="B44" s="49"/>
      <c r="C44" s="1143"/>
      <c r="D44" s="24"/>
      <c r="E44" s="1144"/>
      <c r="F44" s="24"/>
      <c r="G44" s="24"/>
      <c r="H44" s="24"/>
      <c r="I44" s="24"/>
      <c r="J44" s="24"/>
      <c r="K44" s="86"/>
    </row>
    <row r="45" spans="2:11" ht="14.25" customHeight="1" x14ac:dyDescent="0.25">
      <c r="B45" s="1145" t="s">
        <v>1062</v>
      </c>
      <c r="C45" s="1147">
        <f>(C41*C43)/1000000</f>
        <v>1.7727876984818036E-2</v>
      </c>
      <c r="D45" s="375"/>
      <c r="E45" s="1148">
        <f>(E41*E43)/1000000</f>
        <v>2.4181085584437602E-6</v>
      </c>
      <c r="F45" s="24"/>
      <c r="G45" s="24"/>
      <c r="H45" s="24"/>
      <c r="I45" s="24"/>
      <c r="J45" s="24"/>
      <c r="K45" s="86"/>
    </row>
    <row r="46" spans="2:11" ht="12.75" customHeight="1" x14ac:dyDescent="0.2">
      <c r="B46" s="49"/>
      <c r="C46" s="1143"/>
      <c r="D46" s="24"/>
      <c r="E46" s="1144"/>
      <c r="F46" s="24"/>
      <c r="G46" s="24"/>
      <c r="H46" s="24"/>
      <c r="I46" s="24"/>
      <c r="J46" s="24"/>
      <c r="K46" s="86"/>
    </row>
    <row r="47" spans="2:11" ht="12.75" customHeight="1" x14ac:dyDescent="0.2">
      <c r="B47" s="49"/>
      <c r="C47" s="1143"/>
      <c r="D47" s="24"/>
      <c r="E47" s="1144"/>
      <c r="F47" s="24"/>
      <c r="G47" s="24"/>
      <c r="H47" s="24"/>
      <c r="I47" s="24"/>
      <c r="J47" s="24"/>
      <c r="K47" s="86"/>
    </row>
    <row r="48" spans="2:11" ht="12" customHeight="1" x14ac:dyDescent="0.2">
      <c r="B48" s="154"/>
      <c r="C48" s="155"/>
      <c r="D48" s="155"/>
      <c r="E48" s="155"/>
      <c r="F48" s="155"/>
      <c r="G48" s="155"/>
      <c r="H48" s="155"/>
      <c r="I48" s="155"/>
      <c r="J48" s="155"/>
      <c r="K48" s="156"/>
    </row>
    <row r="49" spans="2:3" ht="12" customHeight="1" x14ac:dyDescent="0.2"/>
    <row r="50" spans="2:3" ht="11.25" customHeight="1" x14ac:dyDescent="0.2"/>
    <row r="51" spans="2:3" ht="11.25" customHeight="1" x14ac:dyDescent="0.2">
      <c r="B51" s="1769" t="s">
        <v>1</v>
      </c>
      <c r="C51" s="1759"/>
    </row>
    <row r="52" spans="2:3" ht="11.25" customHeight="1" x14ac:dyDescent="0.2">
      <c r="B52" s="235"/>
      <c r="C52" s="235"/>
    </row>
    <row r="53" spans="2:3" ht="11.25" customHeight="1" x14ac:dyDescent="0.2">
      <c r="B53" s="240" t="s">
        <v>433</v>
      </c>
      <c r="C53" s="241">
        <f>Summary!$E4</f>
        <v>1</v>
      </c>
    </row>
    <row r="54" spans="2:3" ht="11.25" customHeight="1" x14ac:dyDescent="0.2">
      <c r="B54" s="240" t="s">
        <v>438</v>
      </c>
      <c r="C54" s="241">
        <f>Summary!$E5</f>
        <v>27.9</v>
      </c>
    </row>
    <row r="55" spans="2:3" ht="11.25" customHeight="1" x14ac:dyDescent="0.2">
      <c r="B55" s="240" t="s">
        <v>444</v>
      </c>
      <c r="C55" s="241">
        <f>Summary!$E6</f>
        <v>273</v>
      </c>
    </row>
    <row r="56" spans="2:3" ht="11.25" customHeight="1" x14ac:dyDescent="0.2">
      <c r="B56" s="240" t="s">
        <v>447</v>
      </c>
      <c r="C56" s="247">
        <f>Summary!$E7</f>
        <v>24300</v>
      </c>
    </row>
    <row r="57" spans="2:3" ht="11.25" customHeight="1" x14ac:dyDescent="0.2">
      <c r="B57" s="240"/>
      <c r="C57" s="247"/>
    </row>
    <row r="58" spans="2:3" ht="11.25" customHeight="1" x14ac:dyDescent="0.2"/>
    <row r="59" spans="2:3" ht="11.25" customHeight="1" x14ac:dyDescent="0.2"/>
    <row r="60" spans="2:3" ht="11.25" customHeight="1" x14ac:dyDescent="0.2"/>
    <row r="61" spans="2:3" ht="11.25" customHeight="1" x14ac:dyDescent="0.2"/>
    <row r="62" spans="2:3" ht="11.25" customHeight="1" x14ac:dyDescent="0.2"/>
    <row r="63" spans="2:3" ht="11.25" customHeight="1" x14ac:dyDescent="0.2"/>
    <row r="64" spans="2:3"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B51:C51"/>
  </mergeCells>
  <pageMargins left="0.7" right="0.7" top="0.75" bottom="0.75" header="0" footer="0"/>
  <pageSetup orientation="landscape"/>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1000"/>
  <sheetViews>
    <sheetView workbookViewId="0"/>
  </sheetViews>
  <sheetFormatPr defaultColWidth="16.83203125" defaultRowHeight="15" customHeight="1" x14ac:dyDescent="0.2"/>
  <cols>
    <col min="1" max="1" width="3.1640625" customWidth="1"/>
    <col min="2" max="2" width="17.33203125" customWidth="1"/>
    <col min="3" max="3" width="58.83203125" customWidth="1"/>
    <col min="4" max="4" width="13.33203125" customWidth="1"/>
    <col min="5" max="5" width="14.1640625" customWidth="1"/>
    <col min="6" max="7" width="12.5" customWidth="1"/>
    <col min="8" max="9" width="10.6640625" customWidth="1"/>
    <col min="10" max="11" width="15.6640625" customWidth="1"/>
    <col min="12" max="12" width="10.6640625" customWidth="1"/>
    <col min="13" max="13" width="15.33203125" customWidth="1"/>
    <col min="14" max="14" width="10.6640625" customWidth="1"/>
    <col min="15" max="18" width="15.33203125" customWidth="1"/>
    <col min="19" max="19" width="10.6640625" customWidth="1"/>
    <col min="20" max="20" width="15.1640625" customWidth="1"/>
    <col min="21" max="24" width="15.33203125" customWidth="1"/>
    <col min="25" max="26" width="8" customWidth="1"/>
  </cols>
  <sheetData>
    <row r="1" spans="1:26" ht="33" customHeight="1" x14ac:dyDescent="0.4">
      <c r="A1" s="1149" t="s">
        <v>1066</v>
      </c>
      <c r="B1" s="1150"/>
      <c r="C1" s="161"/>
      <c r="D1" s="161"/>
      <c r="E1" s="161"/>
      <c r="F1" s="161"/>
      <c r="G1" s="161"/>
      <c r="H1" s="161"/>
      <c r="I1" s="161"/>
      <c r="J1" s="161"/>
      <c r="K1" s="161"/>
      <c r="L1" s="161"/>
      <c r="M1" s="161"/>
      <c r="N1" s="161"/>
      <c r="O1" s="161"/>
      <c r="P1" s="161"/>
      <c r="Q1" s="161"/>
      <c r="R1" s="161"/>
      <c r="S1" s="161"/>
      <c r="T1" s="161"/>
      <c r="U1" s="161"/>
      <c r="V1" s="161"/>
      <c r="W1" s="161"/>
      <c r="X1" s="161"/>
      <c r="Y1" s="161"/>
      <c r="Z1" s="161"/>
    </row>
    <row r="2" spans="1:26" ht="107.25" customHeight="1" x14ac:dyDescent="0.2">
      <c r="A2" s="161"/>
      <c r="B2" s="161"/>
      <c r="C2" s="161"/>
      <c r="D2" s="161"/>
      <c r="E2" s="161"/>
      <c r="F2" s="161"/>
      <c r="G2" s="161"/>
      <c r="H2" s="161"/>
      <c r="I2" s="161"/>
      <c r="J2" s="161"/>
      <c r="K2" s="161"/>
      <c r="L2" s="161"/>
      <c r="M2" s="161"/>
      <c r="N2" s="161"/>
      <c r="O2" s="161"/>
      <c r="P2" s="161"/>
      <c r="Q2" s="161"/>
      <c r="R2" s="161"/>
      <c r="S2" s="161"/>
      <c r="T2" s="161"/>
      <c r="U2" s="161"/>
      <c r="V2" s="161"/>
      <c r="W2" s="161"/>
      <c r="X2" s="161"/>
      <c r="Y2" s="161"/>
      <c r="Z2" s="161"/>
    </row>
    <row r="3" spans="1:26" ht="11.25" customHeight="1" x14ac:dyDescent="0.2">
      <c r="A3" s="161"/>
      <c r="B3" s="161"/>
      <c r="C3" s="161"/>
      <c r="D3" s="161"/>
      <c r="E3" s="161"/>
      <c r="F3" s="161"/>
      <c r="G3" s="161"/>
      <c r="H3" s="161"/>
      <c r="I3" s="161" t="s">
        <v>1068</v>
      </c>
      <c r="J3" s="161"/>
      <c r="K3" s="161"/>
      <c r="L3" s="161"/>
      <c r="M3" s="161"/>
      <c r="N3" s="161"/>
      <c r="O3" s="161"/>
      <c r="P3" s="161"/>
      <c r="Q3" s="161"/>
      <c r="R3" s="161"/>
      <c r="S3" s="161"/>
      <c r="T3" s="161"/>
      <c r="U3" s="161"/>
      <c r="V3" s="161"/>
      <c r="W3" s="161"/>
      <c r="X3" s="161"/>
      <c r="Y3" s="161"/>
      <c r="Z3" s="161"/>
    </row>
    <row r="4" spans="1:26" ht="11.25" customHeight="1" x14ac:dyDescent="0.2">
      <c r="A4" s="161"/>
      <c r="B4" s="161"/>
      <c r="C4" s="161"/>
      <c r="D4" s="161"/>
      <c r="E4" s="161"/>
      <c r="F4" s="161"/>
      <c r="G4" s="161"/>
      <c r="H4" s="1151"/>
      <c r="I4" s="161" t="s">
        <v>1070</v>
      </c>
      <c r="J4" s="161"/>
      <c r="K4" s="161"/>
      <c r="L4" s="161"/>
      <c r="M4" s="161"/>
      <c r="N4" s="161"/>
      <c r="O4" s="161"/>
      <c r="P4" s="161"/>
      <c r="Q4" s="161"/>
      <c r="R4" s="161"/>
      <c r="S4" s="161"/>
      <c r="T4" s="161"/>
      <c r="U4" s="161"/>
      <c r="V4" s="161"/>
      <c r="W4" s="161"/>
      <c r="X4" s="161"/>
      <c r="Y4" s="161"/>
      <c r="Z4" s="161"/>
    </row>
    <row r="5" spans="1:26" ht="11.25" customHeight="1" x14ac:dyDescent="0.2">
      <c r="A5" s="161"/>
      <c r="B5" s="161"/>
      <c r="C5" s="161"/>
      <c r="D5" s="161"/>
      <c r="E5" s="161"/>
      <c r="F5" s="161"/>
      <c r="G5" s="161"/>
      <c r="H5" s="1152"/>
      <c r="I5" s="161" t="s">
        <v>1071</v>
      </c>
      <c r="J5" s="161"/>
      <c r="K5" s="161"/>
      <c r="L5" s="161"/>
      <c r="M5" s="161"/>
      <c r="N5" s="161"/>
      <c r="O5" s="161"/>
      <c r="P5" s="161"/>
      <c r="Q5" s="161"/>
      <c r="R5" s="161"/>
      <c r="S5" s="161"/>
      <c r="T5" s="161"/>
      <c r="U5" s="161"/>
      <c r="V5" s="161"/>
      <c r="W5" s="161"/>
      <c r="X5" s="161"/>
      <c r="Y5" s="161"/>
      <c r="Z5" s="161"/>
    </row>
    <row r="6" spans="1:26" ht="12.75" customHeight="1" x14ac:dyDescent="0.2">
      <c r="A6" s="161"/>
      <c r="B6" s="161"/>
      <c r="C6" s="161"/>
      <c r="D6" s="161"/>
      <c r="E6" s="1153"/>
      <c r="F6" s="161"/>
      <c r="G6" s="161"/>
      <c r="H6" s="1153"/>
      <c r="I6" s="1153"/>
      <c r="J6" s="161"/>
      <c r="K6" s="161"/>
      <c r="L6" s="161"/>
      <c r="M6" s="161"/>
      <c r="N6" s="161"/>
      <c r="O6" s="161"/>
      <c r="P6" s="161"/>
      <c r="Q6" s="161"/>
      <c r="R6" s="161"/>
      <c r="S6" s="161"/>
      <c r="T6" s="161"/>
      <c r="U6" s="161"/>
      <c r="V6" s="161"/>
      <c r="W6" s="161"/>
      <c r="X6" s="161"/>
      <c r="Y6" s="161"/>
      <c r="Z6" s="161"/>
    </row>
    <row r="7" spans="1:26" ht="13.5" customHeight="1" x14ac:dyDescent="0.2">
      <c r="A7" s="161"/>
      <c r="B7" s="161"/>
      <c r="C7" s="161"/>
      <c r="D7" s="161"/>
      <c r="E7" s="1153"/>
      <c r="F7" s="161"/>
      <c r="G7" s="161"/>
      <c r="H7" s="1153"/>
      <c r="I7" s="1153"/>
      <c r="J7" s="161"/>
      <c r="K7" s="161"/>
      <c r="L7" s="161"/>
      <c r="M7" s="161"/>
      <c r="N7" s="161"/>
      <c r="O7" s="161"/>
      <c r="P7" s="161"/>
      <c r="Q7" s="161"/>
      <c r="R7" s="161"/>
      <c r="S7" s="161"/>
      <c r="T7" s="161"/>
      <c r="U7" s="161"/>
      <c r="V7" s="161"/>
      <c r="W7" s="161"/>
      <c r="X7" s="161"/>
      <c r="Y7" s="161"/>
      <c r="Z7" s="161"/>
    </row>
    <row r="8" spans="1:26" ht="60.75" x14ac:dyDescent="0.25">
      <c r="A8" s="161"/>
      <c r="B8" s="1158" t="s">
        <v>1073</v>
      </c>
      <c r="C8" s="1159" t="s">
        <v>1074</v>
      </c>
      <c r="D8" s="1160" t="s">
        <v>1075</v>
      </c>
      <c r="E8" s="1161" t="s">
        <v>1077</v>
      </c>
      <c r="F8" s="1160" t="s">
        <v>1078</v>
      </c>
      <c r="G8" s="1160" t="s">
        <v>1079</v>
      </c>
      <c r="H8" s="1161" t="s">
        <v>1080</v>
      </c>
      <c r="I8" s="1161" t="s">
        <v>1081</v>
      </c>
      <c r="J8" s="1160" t="s">
        <v>1082</v>
      </c>
      <c r="K8" s="1160" t="s">
        <v>1083</v>
      </c>
      <c r="L8" s="1160" t="s">
        <v>1084</v>
      </c>
      <c r="M8" s="1160" t="s">
        <v>1085</v>
      </c>
      <c r="N8" s="1160" t="s">
        <v>1086</v>
      </c>
      <c r="O8" s="1160" t="s">
        <v>1087</v>
      </c>
      <c r="P8" s="1160" t="s">
        <v>1088</v>
      </c>
      <c r="Q8" s="1160" t="s">
        <v>1089</v>
      </c>
      <c r="R8" s="1160" t="s">
        <v>1090</v>
      </c>
      <c r="S8" s="1160" t="s">
        <v>1091</v>
      </c>
      <c r="T8" s="1160" t="s">
        <v>1092</v>
      </c>
      <c r="U8" s="1160" t="s">
        <v>1093</v>
      </c>
      <c r="V8" s="1160" t="s">
        <v>1094</v>
      </c>
      <c r="W8" s="1160" t="s">
        <v>1095</v>
      </c>
      <c r="X8" s="1165" t="s">
        <v>1096</v>
      </c>
      <c r="Y8" s="161"/>
      <c r="Z8" s="161"/>
    </row>
    <row r="9" spans="1:26" ht="12.75" customHeight="1" x14ac:dyDescent="0.2">
      <c r="A9" s="161"/>
      <c r="B9" s="385"/>
      <c r="C9" s="58"/>
      <c r="D9" s="58"/>
      <c r="E9" s="1169"/>
      <c r="F9" s="887"/>
      <c r="G9" s="887"/>
      <c r="H9" s="1171"/>
      <c r="I9" s="1171"/>
      <c r="J9" s="58"/>
      <c r="K9" s="58"/>
      <c r="L9" s="58"/>
      <c r="M9" s="58"/>
      <c r="N9" s="58"/>
      <c r="O9" s="73"/>
      <c r="P9" s="73"/>
      <c r="Q9" s="73"/>
      <c r="R9" s="73"/>
      <c r="S9" s="58"/>
      <c r="T9" s="73"/>
      <c r="U9" s="58"/>
      <c r="V9" s="58"/>
      <c r="W9" s="58"/>
      <c r="X9" s="495"/>
      <c r="Y9" s="161"/>
      <c r="Z9" s="161"/>
    </row>
    <row r="10" spans="1:26" ht="12.75" customHeight="1" x14ac:dyDescent="0.2">
      <c r="A10" s="161"/>
      <c r="B10" s="1173" t="s">
        <v>1097</v>
      </c>
      <c r="C10" s="1174" t="s">
        <v>1099</v>
      </c>
      <c r="D10" s="1175">
        <v>4.26</v>
      </c>
      <c r="E10" s="1176">
        <f t="shared" ref="E10:E11" si="0">D10*1000000*0.9071847</f>
        <v>3864606.8219999997</v>
      </c>
      <c r="F10" s="1177">
        <v>125000</v>
      </c>
      <c r="G10" s="1177">
        <f t="shared" ref="G10:G11" si="1">F10*0.9071847</f>
        <v>113398.08749999999</v>
      </c>
      <c r="H10" s="1178">
        <v>1992</v>
      </c>
      <c r="I10" s="1179">
        <v>2015</v>
      </c>
      <c r="J10" s="1180">
        <v>9505</v>
      </c>
      <c r="K10" s="1180">
        <v>3464</v>
      </c>
      <c r="L10" s="1181">
        <v>0.8</v>
      </c>
      <c r="M10" s="1180">
        <f>K10*L10</f>
        <v>2771.2000000000003</v>
      </c>
      <c r="N10" s="1181">
        <v>0.98</v>
      </c>
      <c r="O10" s="1180">
        <f>M10*N10</f>
        <v>2715.7760000000003</v>
      </c>
      <c r="P10" s="1180">
        <f>O10*2.75</f>
        <v>7468.3840000000009</v>
      </c>
      <c r="Q10" s="1180">
        <f>M10*(1-N10)</f>
        <v>55.424000000000056</v>
      </c>
      <c r="R10" s="1180">
        <f>K10*(1-L10)</f>
        <v>692.79999999999984</v>
      </c>
      <c r="S10" s="1181">
        <v>0.1</v>
      </c>
      <c r="T10" s="1180">
        <f t="shared" ref="T10:T11" si="2">R10*S10</f>
        <v>69.279999999999987</v>
      </c>
      <c r="U10" s="1180">
        <f t="shared" ref="U10:U11" si="3">R10*(1-S10)</f>
        <v>623.51999999999987</v>
      </c>
      <c r="V10" s="1180">
        <f>U10+Q10</f>
        <v>678.94399999999996</v>
      </c>
      <c r="W10" s="1180">
        <f t="shared" ref="W10:W11" si="4">V10*$D$83</f>
        <v>18942.5376</v>
      </c>
      <c r="X10" s="1182">
        <f>J10+P10+W10</f>
        <v>35915.921600000001</v>
      </c>
      <c r="Y10" s="161"/>
      <c r="Z10" s="161"/>
    </row>
    <row r="11" spans="1:26" ht="12" customHeight="1" x14ac:dyDescent="0.2">
      <c r="A11" s="161"/>
      <c r="B11" s="385"/>
      <c r="C11" s="58" t="s">
        <v>1103</v>
      </c>
      <c r="D11" s="1183">
        <v>1.5</v>
      </c>
      <c r="E11" s="1185">
        <f t="shared" si="0"/>
        <v>1360777.05</v>
      </c>
      <c r="F11" s="1186">
        <v>75000</v>
      </c>
      <c r="G11" s="1186">
        <f t="shared" si="1"/>
        <v>68038.852499999994</v>
      </c>
      <c r="H11" s="887">
        <v>1971</v>
      </c>
      <c r="I11" s="1187">
        <v>1992</v>
      </c>
      <c r="J11" s="1188">
        <v>4319</v>
      </c>
      <c r="K11" s="1188">
        <v>1574</v>
      </c>
      <c r="L11" s="1189"/>
      <c r="M11" s="73"/>
      <c r="N11" s="1189"/>
      <c r="O11" s="73"/>
      <c r="P11" s="73"/>
      <c r="Q11" s="73"/>
      <c r="R11" s="1188">
        <f>K11</f>
        <v>1574</v>
      </c>
      <c r="S11" s="1190">
        <v>0.1</v>
      </c>
      <c r="T11" s="1188">
        <f t="shared" si="2"/>
        <v>157.4</v>
      </c>
      <c r="U11" s="1188">
        <f t="shared" si="3"/>
        <v>1416.6000000000001</v>
      </c>
      <c r="V11" s="1188">
        <f>U11</f>
        <v>1416.6000000000001</v>
      </c>
      <c r="W11" s="1188">
        <f t="shared" si="4"/>
        <v>39523.14</v>
      </c>
      <c r="X11" s="1191">
        <f>J11+W11</f>
        <v>43842.14</v>
      </c>
      <c r="Y11" s="161"/>
      <c r="Z11" s="161"/>
    </row>
    <row r="12" spans="1:26" ht="12.75" customHeight="1" x14ac:dyDescent="0.2">
      <c r="A12" s="161"/>
      <c r="B12" s="385"/>
      <c r="C12" s="58"/>
      <c r="D12" s="1194"/>
      <c r="E12" s="133"/>
      <c r="F12" s="1186"/>
      <c r="G12" s="1186"/>
      <c r="H12" s="887"/>
      <c r="I12" s="1187"/>
      <c r="J12" s="73"/>
      <c r="K12" s="73"/>
      <c r="L12" s="1189"/>
      <c r="M12" s="73"/>
      <c r="N12" s="1189"/>
      <c r="O12" s="73"/>
      <c r="P12" s="73"/>
      <c r="Q12" s="73"/>
      <c r="R12" s="73"/>
      <c r="S12" s="58"/>
      <c r="T12" s="73"/>
      <c r="U12" s="73"/>
      <c r="V12" s="73"/>
      <c r="W12" s="73"/>
      <c r="X12" s="1197"/>
      <c r="Y12" s="161"/>
      <c r="Z12" s="161"/>
    </row>
    <row r="13" spans="1:26" ht="12.75" customHeight="1" x14ac:dyDescent="0.2">
      <c r="A13" s="161"/>
      <c r="B13" s="1173" t="s">
        <v>1107</v>
      </c>
      <c r="C13" s="58" t="s">
        <v>1108</v>
      </c>
      <c r="D13" s="1183">
        <v>0.85</v>
      </c>
      <c r="E13" s="1185">
        <f t="shared" ref="E13:E16" si="5">D13*1000000*0.9071847</f>
        <v>771106.995</v>
      </c>
      <c r="F13" s="1186">
        <v>23000</v>
      </c>
      <c r="G13" s="1186">
        <f t="shared" ref="G13:G16" si="6">F13*0.9071847</f>
        <v>20865.248100000001</v>
      </c>
      <c r="H13" s="887">
        <v>1960</v>
      </c>
      <c r="I13" s="1187">
        <v>1993</v>
      </c>
      <c r="J13" s="1188">
        <v>2306</v>
      </c>
      <c r="K13" s="1188">
        <v>840.3</v>
      </c>
      <c r="L13" s="1189"/>
      <c r="M13" s="73"/>
      <c r="N13" s="1189"/>
      <c r="O13" s="73"/>
      <c r="P13" s="73"/>
      <c r="Q13" s="73"/>
      <c r="R13" s="1188">
        <f t="shared" ref="R13:R14" si="7">K13</f>
        <v>840.3</v>
      </c>
      <c r="S13" s="1190">
        <v>0.1</v>
      </c>
      <c r="T13" s="1188">
        <f t="shared" ref="T13:T18" si="8">R13*S13</f>
        <v>84.03</v>
      </c>
      <c r="U13" s="1188">
        <f t="shared" ref="U13:U18" si="9">R13*(1-S13)</f>
        <v>756.27</v>
      </c>
      <c r="V13" s="1188">
        <f t="shared" ref="V13:V14" si="10">U13</f>
        <v>756.27</v>
      </c>
      <c r="W13" s="1188">
        <f t="shared" ref="W13:W18" si="11">V13*$D$83</f>
        <v>21099.932999999997</v>
      </c>
      <c r="X13" s="1191">
        <f t="shared" ref="X13:X18" si="12">J13+W13</f>
        <v>23405.932999999997</v>
      </c>
      <c r="Y13" s="161"/>
      <c r="Z13" s="161"/>
    </row>
    <row r="14" spans="1:26" ht="12.75" customHeight="1" x14ac:dyDescent="0.2">
      <c r="A14" s="161"/>
      <c r="B14" s="385"/>
      <c r="C14" s="58" t="s">
        <v>1120</v>
      </c>
      <c r="D14" s="1183">
        <v>0.67</v>
      </c>
      <c r="E14" s="1185">
        <f t="shared" si="5"/>
        <v>607813.74899999995</v>
      </c>
      <c r="F14" s="1186">
        <v>11000</v>
      </c>
      <c r="G14" s="1186">
        <f t="shared" si="6"/>
        <v>9979.0316999999995</v>
      </c>
      <c r="H14" s="887">
        <v>1976</v>
      </c>
      <c r="I14" s="1187">
        <v>1996</v>
      </c>
      <c r="J14" s="1188">
        <v>3757</v>
      </c>
      <c r="K14" s="1188">
        <v>1369</v>
      </c>
      <c r="L14" s="1189"/>
      <c r="M14" s="73"/>
      <c r="N14" s="1189"/>
      <c r="O14" s="73"/>
      <c r="P14" s="73"/>
      <c r="Q14" s="73"/>
      <c r="R14" s="1188">
        <f t="shared" si="7"/>
        <v>1369</v>
      </c>
      <c r="S14" s="1190">
        <v>0.1</v>
      </c>
      <c r="T14" s="1188">
        <f t="shared" si="8"/>
        <v>136.9</v>
      </c>
      <c r="U14" s="1188">
        <f t="shared" si="9"/>
        <v>1232.1000000000001</v>
      </c>
      <c r="V14" s="1188">
        <f t="shared" si="10"/>
        <v>1232.1000000000001</v>
      </c>
      <c r="W14" s="1188">
        <f t="shared" si="11"/>
        <v>34375.590000000004</v>
      </c>
      <c r="X14" s="1191">
        <f t="shared" si="12"/>
        <v>38132.590000000004</v>
      </c>
      <c r="Y14" s="161"/>
      <c r="Z14" s="161"/>
    </row>
    <row r="15" spans="1:26" ht="12.75" customHeight="1" x14ac:dyDescent="0.2">
      <c r="A15" s="161"/>
      <c r="B15" s="385"/>
      <c r="C15" s="1174" t="s">
        <v>1122</v>
      </c>
      <c r="D15" s="1175">
        <v>14.3</v>
      </c>
      <c r="E15" s="1176">
        <f t="shared" si="5"/>
        <v>12972741.209999999</v>
      </c>
      <c r="F15" s="1177">
        <v>358288</v>
      </c>
      <c r="G15" s="1177">
        <f t="shared" si="6"/>
        <v>325033.39179359999</v>
      </c>
      <c r="H15" s="1178">
        <v>1975</v>
      </c>
      <c r="I15" s="1179">
        <v>2060</v>
      </c>
      <c r="J15" s="1180">
        <v>18620</v>
      </c>
      <c r="K15" s="1180">
        <v>6787</v>
      </c>
      <c r="L15" s="1181">
        <v>0.95599999999999996</v>
      </c>
      <c r="M15" s="1180">
        <f>K15*L15</f>
        <v>6488.3719999999994</v>
      </c>
      <c r="N15" s="1213">
        <v>0.99909999999999999</v>
      </c>
      <c r="O15" s="1180">
        <f>M15*N15</f>
        <v>6482.532465199999</v>
      </c>
      <c r="P15" s="1180">
        <f>O15*2.75</f>
        <v>17826.964279299998</v>
      </c>
      <c r="Q15" s="1180">
        <f>M15*(1-N15)</f>
        <v>5.8395348000000764</v>
      </c>
      <c r="R15" s="1180">
        <f>K15*(1-L15)</f>
        <v>298.62800000000027</v>
      </c>
      <c r="S15" s="1181">
        <v>0.1</v>
      </c>
      <c r="T15" s="1180">
        <f t="shared" si="8"/>
        <v>29.862800000000028</v>
      </c>
      <c r="U15" s="1180">
        <f t="shared" si="9"/>
        <v>268.76520000000028</v>
      </c>
      <c r="V15" s="1180">
        <f>U15+Q15</f>
        <v>274.60473480000036</v>
      </c>
      <c r="W15" s="1180">
        <f t="shared" si="11"/>
        <v>7661.4721009200093</v>
      </c>
      <c r="X15" s="1182">
        <f t="shared" si="12"/>
        <v>26281.472100920008</v>
      </c>
      <c r="Y15" s="161"/>
      <c r="Z15" s="161"/>
    </row>
    <row r="16" spans="1:26" ht="12.75" customHeight="1" x14ac:dyDescent="0.2">
      <c r="A16" s="161"/>
      <c r="B16" s="385"/>
      <c r="C16" s="58" t="s">
        <v>1123</v>
      </c>
      <c r="D16" s="1183">
        <v>0.7</v>
      </c>
      <c r="E16" s="1185">
        <f t="shared" si="5"/>
        <v>635029.28999999992</v>
      </c>
      <c r="F16" s="1186">
        <v>61000</v>
      </c>
      <c r="G16" s="1186">
        <f t="shared" si="6"/>
        <v>55338.2667</v>
      </c>
      <c r="H16" s="887">
        <v>1982</v>
      </c>
      <c r="I16" s="1187">
        <v>1993</v>
      </c>
      <c r="J16" s="1188">
        <v>2723</v>
      </c>
      <c r="K16" s="1188">
        <v>992.3</v>
      </c>
      <c r="L16" s="1189"/>
      <c r="M16" s="73"/>
      <c r="N16" s="1189"/>
      <c r="O16" s="73"/>
      <c r="P16" s="73"/>
      <c r="Q16" s="73"/>
      <c r="R16" s="1188">
        <f>K16</f>
        <v>992.3</v>
      </c>
      <c r="S16" s="1190">
        <v>0.1</v>
      </c>
      <c r="T16" s="1188">
        <f t="shared" si="8"/>
        <v>99.23</v>
      </c>
      <c r="U16" s="1188">
        <f t="shared" si="9"/>
        <v>893.06999999999994</v>
      </c>
      <c r="V16" s="1188">
        <f>U16</f>
        <v>893.06999999999994</v>
      </c>
      <c r="W16" s="1188">
        <f t="shared" si="11"/>
        <v>24916.652999999998</v>
      </c>
      <c r="X16" s="1191">
        <f t="shared" si="12"/>
        <v>27639.652999999998</v>
      </c>
      <c r="Y16" s="161"/>
      <c r="Z16" s="161"/>
    </row>
    <row r="17" spans="1:26" ht="12.75" customHeight="1" x14ac:dyDescent="0.2">
      <c r="A17" s="161"/>
      <c r="B17" s="385"/>
      <c r="C17" s="1174" t="s">
        <v>1124</v>
      </c>
      <c r="D17" s="1174"/>
      <c r="E17" s="1176">
        <v>1122641.432</v>
      </c>
      <c r="F17" s="1178"/>
      <c r="G17" s="1177"/>
      <c r="H17" s="1178">
        <v>1963</v>
      </c>
      <c r="I17" s="1179">
        <v>1982</v>
      </c>
      <c r="J17" s="1180">
        <f>2485</f>
        <v>2485</v>
      </c>
      <c r="K17" s="1180">
        <f>905.8</f>
        <v>905.8</v>
      </c>
      <c r="L17" s="1181">
        <f>8.61%</f>
        <v>8.6099999999999996E-2</v>
      </c>
      <c r="M17" s="1180">
        <f>K17*L17</f>
        <v>77.989379999999997</v>
      </c>
      <c r="N17" s="1213">
        <v>0.99909999999999999</v>
      </c>
      <c r="O17" s="1180">
        <f>M17*N17</f>
        <v>77.919189557999999</v>
      </c>
      <c r="P17" s="1180">
        <f>O17*2.75</f>
        <v>214.27777128450001</v>
      </c>
      <c r="Q17" s="1180">
        <f>M17*(1-N17)</f>
        <v>7.0190442000000922E-2</v>
      </c>
      <c r="R17" s="1180">
        <f>K17*(1-L17)</f>
        <v>827.81061999999997</v>
      </c>
      <c r="S17" s="1181">
        <v>0.1</v>
      </c>
      <c r="T17" s="1180">
        <f t="shared" si="8"/>
        <v>82.781062000000006</v>
      </c>
      <c r="U17" s="1180">
        <f t="shared" si="9"/>
        <v>745.02955799999995</v>
      </c>
      <c r="V17" s="1180">
        <f>U17+Q17</f>
        <v>745.09974844199996</v>
      </c>
      <c r="W17" s="1180">
        <f t="shared" si="11"/>
        <v>20788.282981531796</v>
      </c>
      <c r="X17" s="1182">
        <f t="shared" si="12"/>
        <v>23273.282981531796</v>
      </c>
      <c r="Y17" s="161"/>
      <c r="Z17" s="161"/>
    </row>
    <row r="18" spans="1:26" ht="12.75" customHeight="1" x14ac:dyDescent="0.2">
      <c r="A18" s="161"/>
      <c r="B18" s="385"/>
      <c r="C18" s="58" t="s">
        <v>1132</v>
      </c>
      <c r="D18" s="1194"/>
      <c r="E18" s="1185">
        <v>3487273</v>
      </c>
      <c r="F18" s="1186"/>
      <c r="G18" s="1186"/>
      <c r="H18" s="887">
        <v>1953</v>
      </c>
      <c r="I18" s="1187">
        <v>1982</v>
      </c>
      <c r="J18" s="1188">
        <f>7040</f>
        <v>7040</v>
      </c>
      <c r="K18" s="1188">
        <f>2566</f>
        <v>2566</v>
      </c>
      <c r="L18" s="1189"/>
      <c r="M18" s="73"/>
      <c r="N18" s="1189"/>
      <c r="O18" s="73"/>
      <c r="P18" s="73"/>
      <c r="Q18" s="73"/>
      <c r="R18" s="1188">
        <f>K18</f>
        <v>2566</v>
      </c>
      <c r="S18" s="1190">
        <v>0.1</v>
      </c>
      <c r="T18" s="1188">
        <f t="shared" si="8"/>
        <v>256.60000000000002</v>
      </c>
      <c r="U18" s="1188">
        <f t="shared" si="9"/>
        <v>2309.4</v>
      </c>
      <c r="V18" s="1188">
        <f>U18</f>
        <v>2309.4</v>
      </c>
      <c r="W18" s="1188">
        <f t="shared" si="11"/>
        <v>64432.26</v>
      </c>
      <c r="X18" s="1191">
        <f t="shared" si="12"/>
        <v>71472.260000000009</v>
      </c>
      <c r="Y18" s="161"/>
      <c r="Z18" s="161"/>
    </row>
    <row r="19" spans="1:26" ht="12.75" customHeight="1" x14ac:dyDescent="0.2">
      <c r="A19" s="161"/>
      <c r="B19" s="385"/>
      <c r="C19" s="58"/>
      <c r="D19" s="1194"/>
      <c r="E19" s="133"/>
      <c r="F19" s="1186"/>
      <c r="G19" s="1186"/>
      <c r="H19" s="887"/>
      <c r="I19" s="1187"/>
      <c r="J19" s="73"/>
      <c r="K19" s="73"/>
      <c r="L19" s="1189"/>
      <c r="M19" s="73"/>
      <c r="N19" s="1189"/>
      <c r="O19" s="73"/>
      <c r="P19" s="73"/>
      <c r="Q19" s="73"/>
      <c r="R19" s="73"/>
      <c r="S19" s="1189"/>
      <c r="T19" s="73"/>
      <c r="U19" s="73"/>
      <c r="V19" s="73"/>
      <c r="W19" s="73"/>
      <c r="X19" s="1197"/>
      <c r="Y19" s="161"/>
      <c r="Z19" s="161"/>
    </row>
    <row r="20" spans="1:26" ht="12.75" customHeight="1" x14ac:dyDescent="0.2">
      <c r="A20" s="161"/>
      <c r="B20" s="1173" t="s">
        <v>1140</v>
      </c>
      <c r="C20" s="58" t="s">
        <v>1141</v>
      </c>
      <c r="D20" s="1183">
        <v>18.320622</v>
      </c>
      <c r="E20" s="1185">
        <f>D20*1000000*0.9071847</f>
        <v>16620187.9728834</v>
      </c>
      <c r="F20" s="1186">
        <v>523000</v>
      </c>
      <c r="G20" s="1186">
        <f>F20*0.9071847</f>
        <v>474457.5981</v>
      </c>
      <c r="H20" s="887">
        <v>1985</v>
      </c>
      <c r="I20" s="1187">
        <v>2019</v>
      </c>
      <c r="J20" s="1188">
        <v>45940</v>
      </c>
      <c r="K20" s="1188">
        <v>16740</v>
      </c>
      <c r="L20" s="1189"/>
      <c r="M20" s="73"/>
      <c r="N20" s="1189"/>
      <c r="O20" s="73"/>
      <c r="P20" s="73"/>
      <c r="Q20" s="73"/>
      <c r="R20" s="1188">
        <f>K20</f>
        <v>16740</v>
      </c>
      <c r="S20" s="1190">
        <v>0.1</v>
      </c>
      <c r="T20" s="1188">
        <f>R20*S20</f>
        <v>1674</v>
      </c>
      <c r="U20" s="1188">
        <f>R20*(1-S20)</f>
        <v>15066</v>
      </c>
      <c r="V20" s="1188">
        <f>U20</f>
        <v>15066</v>
      </c>
      <c r="W20" s="1188">
        <f>V20*$D$83</f>
        <v>420341.39999999997</v>
      </c>
      <c r="X20" s="1191">
        <f>J20+W20</f>
        <v>466281.39999999997</v>
      </c>
      <c r="Y20" s="161"/>
      <c r="Z20" s="161"/>
    </row>
    <row r="21" spans="1:26" ht="12.75" customHeight="1" x14ac:dyDescent="0.2">
      <c r="A21" s="161"/>
      <c r="B21" s="1173"/>
      <c r="C21" s="58"/>
      <c r="D21" s="1183"/>
      <c r="E21" s="1185"/>
      <c r="F21" s="1186"/>
      <c r="G21" s="1186"/>
      <c r="H21" s="887"/>
      <c r="I21" s="1187"/>
      <c r="J21" s="1188"/>
      <c r="K21" s="1188"/>
      <c r="L21" s="1189"/>
      <c r="M21" s="73"/>
      <c r="N21" s="1189"/>
      <c r="O21" s="73"/>
      <c r="P21" s="73"/>
      <c r="Q21" s="73"/>
      <c r="R21" s="1188"/>
      <c r="S21" s="1190"/>
      <c r="T21" s="1188"/>
      <c r="U21" s="1188"/>
      <c r="V21" s="1188"/>
      <c r="W21" s="1188"/>
      <c r="X21" s="1191"/>
      <c r="Y21" s="161"/>
      <c r="Z21" s="161"/>
    </row>
    <row r="22" spans="1:26" ht="12.75" customHeight="1" x14ac:dyDescent="0.2">
      <c r="A22" s="161"/>
      <c r="B22" s="1173" t="s">
        <v>1148</v>
      </c>
      <c r="C22" s="1174" t="s">
        <v>1149</v>
      </c>
      <c r="D22" s="1175">
        <v>22.812999999999999</v>
      </c>
      <c r="E22" s="1176">
        <f>D22*1000000*0.9071847</f>
        <v>20695604.561099999</v>
      </c>
      <c r="F22" s="1177">
        <v>250000</v>
      </c>
      <c r="G22" s="1177">
        <f>F22*0.9071847</f>
        <v>226796.17499999999</v>
      </c>
      <c r="H22" s="1178">
        <v>1982</v>
      </c>
      <c r="I22" s="1179">
        <v>2033</v>
      </c>
      <c r="J22" s="1180">
        <f>14880</f>
        <v>14880</v>
      </c>
      <c r="K22" s="1180">
        <f>7802</f>
        <v>7802</v>
      </c>
      <c r="L22" s="1181">
        <v>0.85</v>
      </c>
      <c r="M22" s="1180">
        <f t="shared" ref="M22:M23" si="13">K22*L22</f>
        <v>6631.7</v>
      </c>
      <c r="N22" s="1181">
        <v>0.99199999999999999</v>
      </c>
      <c r="O22" s="1180">
        <f t="shared" ref="O22:O23" si="14">M22*N22</f>
        <v>6578.6463999999996</v>
      </c>
      <c r="P22" s="1180">
        <f t="shared" ref="P22:P23" si="15">O22*2.75</f>
        <v>18091.277599999998</v>
      </c>
      <c r="Q22" s="1180">
        <f t="shared" ref="Q22:Q23" si="16">M22*(1-N22)</f>
        <v>53.053600000000046</v>
      </c>
      <c r="R22" s="1180">
        <f t="shared" ref="R22:R23" si="17">K22*(1-L22)</f>
        <v>1170.3000000000002</v>
      </c>
      <c r="S22" s="1181">
        <v>0.1</v>
      </c>
      <c r="T22" s="1180">
        <f t="shared" ref="T22:T23" si="18">R22*S22</f>
        <v>117.03000000000003</v>
      </c>
      <c r="U22" s="1180">
        <f t="shared" ref="U22:U23" si="19">R22*(1-S22)</f>
        <v>1053.2700000000002</v>
      </c>
      <c r="V22" s="1180">
        <f t="shared" ref="V22:V23" si="20">U22+Q22</f>
        <v>1106.3236000000002</v>
      </c>
      <c r="W22" s="1180">
        <f t="shared" ref="W22:W23" si="21">V22*$D$83</f>
        <v>30866.428440000003</v>
      </c>
      <c r="X22" s="1182">
        <f t="shared" ref="X22:X23" si="22">J22+P22+W22</f>
        <v>63837.706040000005</v>
      </c>
      <c r="Y22" s="161"/>
      <c r="Z22" s="161"/>
    </row>
    <row r="23" spans="1:26" ht="12.75" customHeight="1" x14ac:dyDescent="0.2">
      <c r="A23" s="161"/>
      <c r="B23" s="385"/>
      <c r="C23" s="1174" t="s">
        <v>1168</v>
      </c>
      <c r="D23" s="1264"/>
      <c r="E23" s="1176">
        <v>7259745.9500000002</v>
      </c>
      <c r="F23" s="1177"/>
      <c r="G23" s="1177"/>
      <c r="H23" s="1178">
        <v>1968</v>
      </c>
      <c r="I23" s="1179">
        <v>1986</v>
      </c>
      <c r="J23" s="1180">
        <f>19190</f>
        <v>19190</v>
      </c>
      <c r="K23" s="1180">
        <f>6995</f>
        <v>6995</v>
      </c>
      <c r="L23" s="1181">
        <v>0.21129999999999999</v>
      </c>
      <c r="M23" s="1180">
        <f t="shared" si="13"/>
        <v>1478.0435</v>
      </c>
      <c r="N23" s="1181">
        <v>0.98</v>
      </c>
      <c r="O23" s="1180">
        <f t="shared" si="14"/>
        <v>1448.48263</v>
      </c>
      <c r="P23" s="1180">
        <f t="shared" si="15"/>
        <v>3983.3272324999998</v>
      </c>
      <c r="Q23" s="1180">
        <f t="shared" si="16"/>
        <v>29.560870000000026</v>
      </c>
      <c r="R23" s="1180">
        <f t="shared" si="17"/>
        <v>5516.9564999999993</v>
      </c>
      <c r="S23" s="1181">
        <v>0.1</v>
      </c>
      <c r="T23" s="1180">
        <f t="shared" si="18"/>
        <v>551.69565</v>
      </c>
      <c r="U23" s="1180">
        <f t="shared" si="19"/>
        <v>4965.2608499999997</v>
      </c>
      <c r="V23" s="1180">
        <f t="shared" si="20"/>
        <v>4994.8217199999999</v>
      </c>
      <c r="W23" s="1180">
        <f t="shared" si="21"/>
        <v>139355.52598799998</v>
      </c>
      <c r="X23" s="1182">
        <f t="shared" si="22"/>
        <v>162528.85322049999</v>
      </c>
      <c r="Y23" s="161"/>
      <c r="Z23" s="161"/>
    </row>
    <row r="24" spans="1:26" ht="12.75" customHeight="1" x14ac:dyDescent="0.2">
      <c r="A24" s="161"/>
      <c r="B24" s="385"/>
      <c r="C24" s="58"/>
      <c r="D24" s="1194"/>
      <c r="E24" s="133"/>
      <c r="F24" s="1186"/>
      <c r="G24" s="1186"/>
      <c r="H24" s="887"/>
      <c r="I24" s="1187"/>
      <c r="J24" s="73"/>
      <c r="K24" s="73"/>
      <c r="L24" s="1189"/>
      <c r="M24" s="73"/>
      <c r="N24" s="1189"/>
      <c r="O24" s="73"/>
      <c r="P24" s="73"/>
      <c r="Q24" s="73"/>
      <c r="R24" s="73"/>
      <c r="S24" s="1189"/>
      <c r="T24" s="73"/>
      <c r="U24" s="73"/>
      <c r="V24" s="73"/>
      <c r="W24" s="73"/>
      <c r="X24" s="1197"/>
      <c r="Y24" s="161"/>
      <c r="Z24" s="161"/>
    </row>
    <row r="25" spans="1:26" ht="12.75" customHeight="1" x14ac:dyDescent="0.2">
      <c r="A25" s="161"/>
      <c r="B25" s="1173" t="s">
        <v>1170</v>
      </c>
      <c r="C25" s="58" t="s">
        <v>1171</v>
      </c>
      <c r="D25" s="1183">
        <v>2.7992900000000001</v>
      </c>
      <c r="E25" s="1185">
        <f t="shared" ref="E25:E26" si="23">D25*1000000*0.9071847</f>
        <v>2539473.058863</v>
      </c>
      <c r="F25" s="1186">
        <v>20000</v>
      </c>
      <c r="G25" s="1186">
        <f t="shared" ref="G25:G26" si="24">F25*0.9071847</f>
        <v>18143.694</v>
      </c>
      <c r="H25" s="887">
        <v>1992</v>
      </c>
      <c r="I25" s="1187">
        <v>2037</v>
      </c>
      <c r="J25" s="1188">
        <f>2625</f>
        <v>2625</v>
      </c>
      <c r="K25" s="1188">
        <f>956.6</f>
        <v>956.6</v>
      </c>
      <c r="L25" s="1189"/>
      <c r="M25" s="73"/>
      <c r="N25" s="1189"/>
      <c r="O25" s="73"/>
      <c r="P25" s="73"/>
      <c r="Q25" s="73"/>
      <c r="R25" s="1188">
        <f t="shared" ref="R25:R26" si="25">K25</f>
        <v>956.6</v>
      </c>
      <c r="S25" s="1190">
        <v>0.1</v>
      </c>
      <c r="T25" s="1188">
        <f t="shared" ref="T25:T26" si="26">R25*S25</f>
        <v>95.660000000000011</v>
      </c>
      <c r="U25" s="1188">
        <f t="shared" ref="U25:U26" si="27">R25*(1-S25)</f>
        <v>860.94</v>
      </c>
      <c r="V25" s="1188">
        <f t="shared" ref="V25:V26" si="28">U25</f>
        <v>860.94</v>
      </c>
      <c r="W25" s="1188">
        <f t="shared" ref="W25:W26" si="29">V25*$D$83</f>
        <v>24020.225999999999</v>
      </c>
      <c r="X25" s="1191">
        <f t="shared" ref="X25:X26" si="30">J25+W25</f>
        <v>26645.225999999999</v>
      </c>
      <c r="Y25" s="161"/>
      <c r="Z25" s="161"/>
    </row>
    <row r="26" spans="1:26" ht="12.75" customHeight="1" x14ac:dyDescent="0.2">
      <c r="A26" s="161"/>
      <c r="B26" s="385"/>
      <c r="C26" s="58" t="s">
        <v>1172</v>
      </c>
      <c r="D26" s="1183">
        <v>0.6</v>
      </c>
      <c r="E26" s="1185">
        <f t="shared" si="23"/>
        <v>544310.81999999995</v>
      </c>
      <c r="F26" s="1186">
        <v>28000</v>
      </c>
      <c r="G26" s="1186">
        <f t="shared" si="24"/>
        <v>25401.171599999998</v>
      </c>
      <c r="H26" s="887">
        <v>1975</v>
      </c>
      <c r="I26" s="1187">
        <v>1993</v>
      </c>
      <c r="J26" s="1188">
        <v>1974</v>
      </c>
      <c r="K26" s="1188">
        <v>719.3</v>
      </c>
      <c r="L26" s="1189"/>
      <c r="M26" s="73"/>
      <c r="N26" s="1189"/>
      <c r="O26" s="73"/>
      <c r="P26" s="73"/>
      <c r="Q26" s="73"/>
      <c r="R26" s="1188">
        <f t="shared" si="25"/>
        <v>719.3</v>
      </c>
      <c r="S26" s="1190">
        <v>0.1</v>
      </c>
      <c r="T26" s="1188">
        <f t="shared" si="26"/>
        <v>71.929999999999993</v>
      </c>
      <c r="U26" s="1188">
        <f t="shared" si="27"/>
        <v>647.37</v>
      </c>
      <c r="V26" s="1188">
        <f t="shared" si="28"/>
        <v>647.37</v>
      </c>
      <c r="W26" s="1188">
        <f t="shared" si="29"/>
        <v>18061.623</v>
      </c>
      <c r="X26" s="1191">
        <f t="shared" si="30"/>
        <v>20035.623</v>
      </c>
      <c r="Y26" s="161"/>
      <c r="Z26" s="161"/>
    </row>
    <row r="27" spans="1:26" ht="12.75" customHeight="1" x14ac:dyDescent="0.2">
      <c r="A27" s="161"/>
      <c r="B27" s="385"/>
      <c r="C27" s="58"/>
      <c r="D27" s="1194"/>
      <c r="E27" s="133"/>
      <c r="F27" s="1186"/>
      <c r="G27" s="1186"/>
      <c r="H27" s="887"/>
      <c r="I27" s="1187"/>
      <c r="J27" s="73"/>
      <c r="K27" s="73"/>
      <c r="L27" s="1189"/>
      <c r="M27" s="73"/>
      <c r="N27" s="1189"/>
      <c r="O27" s="73"/>
      <c r="P27" s="73"/>
      <c r="Q27" s="73"/>
      <c r="R27" s="73"/>
      <c r="S27" s="1189"/>
      <c r="T27" s="73"/>
      <c r="U27" s="73"/>
      <c r="V27" s="73"/>
      <c r="W27" s="73"/>
      <c r="X27" s="1197"/>
      <c r="Y27" s="161"/>
      <c r="Z27" s="161"/>
    </row>
    <row r="28" spans="1:26" ht="12.75" customHeight="1" x14ac:dyDescent="0.2">
      <c r="A28" s="161"/>
      <c r="B28" s="1173" t="s">
        <v>1173</v>
      </c>
      <c r="C28" s="1174" t="s">
        <v>1174</v>
      </c>
      <c r="D28" s="1264"/>
      <c r="E28" s="1268"/>
      <c r="F28" s="1177"/>
      <c r="G28" s="1177"/>
      <c r="H28" s="1178"/>
      <c r="I28" s="1179"/>
      <c r="J28" s="1180">
        <f>9484</f>
        <v>9484</v>
      </c>
      <c r="K28" s="1180">
        <f>3456</f>
        <v>3456</v>
      </c>
      <c r="L28" s="1181">
        <v>0.64</v>
      </c>
      <c r="M28" s="1180">
        <f>K28*L28</f>
        <v>2211.84</v>
      </c>
      <c r="N28" s="1181">
        <v>0.98</v>
      </c>
      <c r="O28" s="1180">
        <f>M28*N28</f>
        <v>2167.6032</v>
      </c>
      <c r="P28" s="1180">
        <f>O28*2.75</f>
        <v>5960.9088000000002</v>
      </c>
      <c r="Q28" s="1180">
        <f>M28*(1-N28)</f>
        <v>44.236800000000045</v>
      </c>
      <c r="R28" s="1180">
        <f>K28*(1-L28)</f>
        <v>1244.1599999999999</v>
      </c>
      <c r="S28" s="1181">
        <v>0.1</v>
      </c>
      <c r="T28" s="1180">
        <f>R28*S28</f>
        <v>124.416</v>
      </c>
      <c r="U28" s="1180">
        <f>R28*(1-S28)</f>
        <v>1119.7439999999999</v>
      </c>
      <c r="V28" s="1180">
        <f>U28+Q28</f>
        <v>1163.9808</v>
      </c>
      <c r="W28" s="1180">
        <f>V28*$D$83</f>
        <v>32475.064320000001</v>
      </c>
      <c r="X28" s="1182">
        <f>J28+P28+W28</f>
        <v>47919.973120000002</v>
      </c>
      <c r="Y28" s="161"/>
      <c r="Z28" s="161"/>
    </row>
    <row r="29" spans="1:26" ht="12.75" customHeight="1" x14ac:dyDescent="0.2">
      <c r="A29" s="161"/>
      <c r="B29" s="385"/>
      <c r="C29" s="58"/>
      <c r="D29" s="1194"/>
      <c r="E29" s="133"/>
      <c r="F29" s="1186"/>
      <c r="G29" s="1186"/>
      <c r="H29" s="887"/>
      <c r="I29" s="1187"/>
      <c r="J29" s="73"/>
      <c r="K29" s="73"/>
      <c r="L29" s="1189"/>
      <c r="M29" s="73"/>
      <c r="N29" s="1189"/>
      <c r="O29" s="73"/>
      <c r="P29" s="73"/>
      <c r="Q29" s="73"/>
      <c r="R29" s="73"/>
      <c r="S29" s="1189"/>
      <c r="T29" s="73"/>
      <c r="U29" s="73"/>
      <c r="V29" s="73"/>
      <c r="W29" s="73"/>
      <c r="X29" s="1197"/>
      <c r="Y29" s="161"/>
      <c r="Z29" s="161"/>
    </row>
    <row r="30" spans="1:26" ht="12.75" customHeight="1" x14ac:dyDescent="0.2">
      <c r="A30" s="161"/>
      <c r="B30" s="1173" t="s">
        <v>1176</v>
      </c>
      <c r="C30" s="58" t="s">
        <v>1177</v>
      </c>
      <c r="D30" s="1183">
        <v>0.5</v>
      </c>
      <c r="E30" s="1185">
        <f t="shared" ref="E30:E31" si="31">D30*1000000*0.9071847</f>
        <v>453592.35</v>
      </c>
      <c r="F30" s="1186">
        <v>35000</v>
      </c>
      <c r="G30" s="1186">
        <f t="shared" ref="G30:G31" si="32">F30*0.9071847</f>
        <v>31751.464499999998</v>
      </c>
      <c r="H30" s="887">
        <v>1981</v>
      </c>
      <c r="I30" s="1187">
        <v>1994</v>
      </c>
      <c r="J30" s="1188">
        <v>1767</v>
      </c>
      <c r="K30" s="1188">
        <v>643.9</v>
      </c>
      <c r="L30" s="1189"/>
      <c r="M30" s="73"/>
      <c r="N30" s="1189"/>
      <c r="O30" s="73"/>
      <c r="P30" s="73"/>
      <c r="Q30" s="73"/>
      <c r="R30" s="1188">
        <f t="shared" ref="R30:R31" si="33">K30</f>
        <v>643.9</v>
      </c>
      <c r="S30" s="1190">
        <v>0.1</v>
      </c>
      <c r="T30" s="1188">
        <f t="shared" ref="T30:T31" si="34">R30*S30</f>
        <v>64.39</v>
      </c>
      <c r="U30" s="1188">
        <f t="shared" ref="U30:U31" si="35">R30*(1-S30)</f>
        <v>579.51</v>
      </c>
      <c r="V30" s="1188">
        <f t="shared" ref="V30:V31" si="36">U30</f>
        <v>579.51</v>
      </c>
      <c r="W30" s="1188">
        <f t="shared" ref="W30:W31" si="37">V30*$D$83</f>
        <v>16168.329</v>
      </c>
      <c r="X30" s="1191">
        <f t="shared" ref="X30:X31" si="38">J30+W30</f>
        <v>17935.328999999998</v>
      </c>
      <c r="Y30" s="161"/>
      <c r="Z30" s="161"/>
    </row>
    <row r="31" spans="1:26" ht="12.75" customHeight="1" x14ac:dyDescent="0.2">
      <c r="A31" s="161"/>
      <c r="B31" s="385"/>
      <c r="C31" s="1174" t="s">
        <v>1185</v>
      </c>
      <c r="D31" s="1175">
        <v>3.5041869999999999</v>
      </c>
      <c r="E31" s="1176">
        <f t="shared" si="31"/>
        <v>3178944.8323388998</v>
      </c>
      <c r="F31" s="1177">
        <v>80000</v>
      </c>
      <c r="G31" s="1177">
        <f t="shared" si="32"/>
        <v>72574.775999999998</v>
      </c>
      <c r="H31" s="1178">
        <v>1988</v>
      </c>
      <c r="I31" s="1179">
        <v>2053</v>
      </c>
      <c r="J31" s="1180">
        <v>8168</v>
      </c>
      <c r="K31" s="1180">
        <v>2977</v>
      </c>
      <c r="L31" s="1181">
        <v>7.0199999999999999E-2</v>
      </c>
      <c r="M31" s="1180">
        <f>K31*L31</f>
        <v>208.9854</v>
      </c>
      <c r="N31" s="1181">
        <v>0.97699999999999998</v>
      </c>
      <c r="O31" s="1180">
        <f>M31*N31</f>
        <v>204.1787358</v>
      </c>
      <c r="P31" s="1180">
        <f>O31*2.75</f>
        <v>561.49152345000005</v>
      </c>
      <c r="Q31" s="1180">
        <f>M31*(1-N31)</f>
        <v>4.8066642000000046</v>
      </c>
      <c r="R31" s="1180">
        <f t="shared" si="33"/>
        <v>2977</v>
      </c>
      <c r="S31" s="1181">
        <v>0.1</v>
      </c>
      <c r="T31" s="1180">
        <f t="shared" si="34"/>
        <v>297.7</v>
      </c>
      <c r="U31" s="1180">
        <f t="shared" si="35"/>
        <v>2679.3</v>
      </c>
      <c r="V31" s="1180">
        <f t="shared" si="36"/>
        <v>2679.3</v>
      </c>
      <c r="W31" s="1180">
        <f t="shared" si="37"/>
        <v>74752.47</v>
      </c>
      <c r="X31" s="1182">
        <f t="shared" si="38"/>
        <v>82920.47</v>
      </c>
      <c r="Y31" s="161"/>
      <c r="Z31" s="161"/>
    </row>
    <row r="32" spans="1:26" ht="12.75" customHeight="1" x14ac:dyDescent="0.2">
      <c r="A32" s="161"/>
      <c r="B32" s="385"/>
      <c r="C32" s="58"/>
      <c r="D32" s="1194"/>
      <c r="E32" s="133"/>
      <c r="F32" s="1186"/>
      <c r="G32" s="1186"/>
      <c r="H32" s="887"/>
      <c r="I32" s="1187"/>
      <c r="J32" s="73"/>
      <c r="K32" s="73"/>
      <c r="L32" s="1189"/>
      <c r="M32" s="73"/>
      <c r="N32" s="1189"/>
      <c r="O32" s="73"/>
      <c r="P32" s="73"/>
      <c r="Q32" s="73"/>
      <c r="R32" s="73"/>
      <c r="S32" s="1189"/>
      <c r="T32" s="73"/>
      <c r="U32" s="73"/>
      <c r="V32" s="73"/>
      <c r="W32" s="73"/>
      <c r="X32" s="1197"/>
      <c r="Y32" s="161"/>
      <c r="Z32" s="161"/>
    </row>
    <row r="33" spans="1:26" ht="12.75" customHeight="1" x14ac:dyDescent="0.2">
      <c r="A33" s="161"/>
      <c r="B33" s="1173" t="s">
        <v>1196</v>
      </c>
      <c r="C33" s="1174" t="s">
        <v>1197</v>
      </c>
      <c r="D33" s="1175">
        <v>4.5049999999999999</v>
      </c>
      <c r="E33" s="1176">
        <f>D33*1000000*0.9071847</f>
        <v>4086867.0734999999</v>
      </c>
      <c r="F33" s="1177"/>
      <c r="G33" s="1177">
        <v>60623.332999999999</v>
      </c>
      <c r="H33" s="1178">
        <v>1978</v>
      </c>
      <c r="I33" s="1179">
        <v>2046</v>
      </c>
      <c r="J33" s="1180">
        <f>9317</f>
        <v>9317</v>
      </c>
      <c r="K33" s="1180">
        <f>3396</f>
        <v>3396</v>
      </c>
      <c r="L33" s="1181">
        <v>0.8</v>
      </c>
      <c r="M33" s="1180">
        <f>K33*L33</f>
        <v>2716.8</v>
      </c>
      <c r="N33" s="1181">
        <v>0.98</v>
      </c>
      <c r="O33" s="1180">
        <f>M33*N33</f>
        <v>2662.4639999999999</v>
      </c>
      <c r="P33" s="1180">
        <f>O33*2.75</f>
        <v>7321.7759999999998</v>
      </c>
      <c r="Q33" s="1180">
        <f>M33*(1-N33)</f>
        <v>54.336000000000055</v>
      </c>
      <c r="R33" s="1180">
        <f>K33*(1-L33)</f>
        <v>679.19999999999982</v>
      </c>
      <c r="S33" s="1181">
        <v>0.1</v>
      </c>
      <c r="T33" s="1180">
        <f>R33*S33</f>
        <v>67.919999999999987</v>
      </c>
      <c r="U33" s="1180">
        <f>R33*(1-S33)</f>
        <v>611.27999999999986</v>
      </c>
      <c r="V33" s="1180">
        <f>U33+Q33</f>
        <v>665.61599999999987</v>
      </c>
      <c r="W33" s="1180">
        <f>V33*$D$83</f>
        <v>18570.686399999995</v>
      </c>
      <c r="X33" s="1182">
        <f>J33+P33+W33</f>
        <v>35209.462399999989</v>
      </c>
      <c r="Y33" s="161"/>
      <c r="Z33" s="161"/>
    </row>
    <row r="34" spans="1:26" ht="12.75" customHeight="1" x14ac:dyDescent="0.2">
      <c r="A34" s="161"/>
      <c r="B34" s="385"/>
      <c r="C34" s="58"/>
      <c r="D34" s="1194"/>
      <c r="E34" s="133"/>
      <c r="F34" s="1186"/>
      <c r="G34" s="1186"/>
      <c r="H34" s="887"/>
      <c r="I34" s="1187"/>
      <c r="J34" s="73"/>
      <c r="K34" s="73"/>
      <c r="L34" s="1189"/>
      <c r="M34" s="73"/>
      <c r="N34" s="1189"/>
      <c r="O34" s="73"/>
      <c r="P34" s="73"/>
      <c r="Q34" s="73"/>
      <c r="R34" s="73"/>
      <c r="S34" s="1189"/>
      <c r="T34" s="73"/>
      <c r="U34" s="73"/>
      <c r="V34" s="73"/>
      <c r="W34" s="73"/>
      <c r="X34" s="1197"/>
      <c r="Y34" s="161"/>
      <c r="Z34" s="161"/>
    </row>
    <row r="35" spans="1:26" ht="12.75" customHeight="1" x14ac:dyDescent="0.2">
      <c r="A35" s="161"/>
      <c r="B35" s="1173" t="s">
        <v>1198</v>
      </c>
      <c r="C35" s="58" t="s">
        <v>1199</v>
      </c>
      <c r="D35" s="1183">
        <v>4.3746999999999998</v>
      </c>
      <c r="E35" s="1185">
        <f t="shared" ref="E35:E36" si="39">D35*1000000*0.9071847</f>
        <v>3968660.9070899999</v>
      </c>
      <c r="F35" s="1186">
        <v>82000</v>
      </c>
      <c r="G35" s="1186">
        <f t="shared" ref="G35:G36" si="40">F35*0.9071847</f>
        <v>74389.145399999994</v>
      </c>
      <c r="H35" s="887">
        <v>1994</v>
      </c>
      <c r="I35" s="1187">
        <v>2040</v>
      </c>
      <c r="J35" s="1188">
        <f>7635</f>
        <v>7635</v>
      </c>
      <c r="K35" s="1188">
        <f>2783</f>
        <v>2783</v>
      </c>
      <c r="L35" s="1189"/>
      <c r="M35" s="73"/>
      <c r="N35" s="1189"/>
      <c r="O35" s="73"/>
      <c r="P35" s="73"/>
      <c r="Q35" s="73"/>
      <c r="R35" s="1188">
        <f t="shared" ref="R35:R36" si="41">K35</f>
        <v>2783</v>
      </c>
      <c r="S35" s="1190">
        <v>0.1</v>
      </c>
      <c r="T35" s="1188">
        <f t="shared" ref="T35:T36" si="42">R35*S35</f>
        <v>278.3</v>
      </c>
      <c r="U35" s="1188">
        <f t="shared" ref="U35:U36" si="43">R35*(1-S35)</f>
        <v>2504.7000000000003</v>
      </c>
      <c r="V35" s="1188">
        <f t="shared" ref="V35:V36" si="44">U35</f>
        <v>2504.7000000000003</v>
      </c>
      <c r="W35" s="1188">
        <f t="shared" ref="W35:W36" si="45">V35*$D$83</f>
        <v>69881.13</v>
      </c>
      <c r="X35" s="1191">
        <f t="shared" ref="X35:X36" si="46">J35+W35</f>
        <v>77516.13</v>
      </c>
      <c r="Y35" s="161"/>
      <c r="Z35" s="161"/>
    </row>
    <row r="36" spans="1:26" ht="12.75" customHeight="1" x14ac:dyDescent="0.2">
      <c r="A36" s="161"/>
      <c r="B36" s="385"/>
      <c r="C36" s="58" t="s">
        <v>1200</v>
      </c>
      <c r="D36" s="1183">
        <v>1.5</v>
      </c>
      <c r="E36" s="1185">
        <f t="shared" si="39"/>
        <v>1360777.05</v>
      </c>
      <c r="F36" s="1186">
        <v>75000</v>
      </c>
      <c r="G36" s="1186">
        <f t="shared" si="40"/>
        <v>68038.852499999994</v>
      </c>
      <c r="H36" s="887">
        <v>1974</v>
      </c>
      <c r="I36" s="1187">
        <v>1994</v>
      </c>
      <c r="J36" s="1188">
        <v>5538</v>
      </c>
      <c r="K36" s="1188">
        <v>2018</v>
      </c>
      <c r="L36" s="1189"/>
      <c r="M36" s="73"/>
      <c r="N36" s="1189"/>
      <c r="O36" s="73"/>
      <c r="P36" s="73"/>
      <c r="Q36" s="73"/>
      <c r="R36" s="1188">
        <f t="shared" si="41"/>
        <v>2018</v>
      </c>
      <c r="S36" s="1190">
        <v>0.1</v>
      </c>
      <c r="T36" s="1188">
        <f t="shared" si="42"/>
        <v>201.8</v>
      </c>
      <c r="U36" s="1188">
        <f t="shared" si="43"/>
        <v>1816.2</v>
      </c>
      <c r="V36" s="1188">
        <f t="shared" si="44"/>
        <v>1816.2</v>
      </c>
      <c r="W36" s="1188">
        <f t="shared" si="45"/>
        <v>50671.979999999996</v>
      </c>
      <c r="X36" s="1191">
        <f t="shared" si="46"/>
        <v>56209.979999999996</v>
      </c>
      <c r="Y36" s="161"/>
      <c r="Z36" s="161"/>
    </row>
    <row r="37" spans="1:26" ht="12.75" customHeight="1" x14ac:dyDescent="0.2">
      <c r="A37" s="161"/>
      <c r="B37" s="385"/>
      <c r="C37" s="58"/>
      <c r="D37" s="1194"/>
      <c r="E37" s="133"/>
      <c r="F37" s="1186"/>
      <c r="G37" s="1186"/>
      <c r="H37" s="887"/>
      <c r="I37" s="1187"/>
      <c r="J37" s="73"/>
      <c r="K37" s="73"/>
      <c r="L37" s="1189"/>
      <c r="M37" s="73"/>
      <c r="N37" s="1189"/>
      <c r="O37" s="73"/>
      <c r="P37" s="73"/>
      <c r="Q37" s="73"/>
      <c r="R37" s="73"/>
      <c r="S37" s="1189"/>
      <c r="T37" s="73"/>
      <c r="U37" s="73"/>
      <c r="V37" s="73"/>
      <c r="W37" s="73"/>
      <c r="X37" s="1197"/>
      <c r="Y37" s="161"/>
      <c r="Z37" s="161"/>
    </row>
    <row r="38" spans="1:26" ht="12.75" customHeight="1" x14ac:dyDescent="0.2">
      <c r="A38" s="161"/>
      <c r="B38" s="1173" t="s">
        <v>1201</v>
      </c>
      <c r="C38" s="58" t="s">
        <v>1202</v>
      </c>
      <c r="D38" s="1183">
        <v>0.8</v>
      </c>
      <c r="E38" s="1185">
        <f t="shared" ref="E38:E39" si="47">D38*1000000*0.9071847</f>
        <v>725747.76</v>
      </c>
      <c r="F38" s="1186">
        <v>35000</v>
      </c>
      <c r="G38" s="1186">
        <f>F38*0.9071847</f>
        <v>31751.464499999998</v>
      </c>
      <c r="H38" s="887">
        <v>1973</v>
      </c>
      <c r="I38" s="1187">
        <v>1995</v>
      </c>
      <c r="J38" s="1188">
        <v>1723</v>
      </c>
      <c r="K38" s="1188">
        <v>628</v>
      </c>
      <c r="L38" s="1189"/>
      <c r="M38" s="73"/>
      <c r="N38" s="1189"/>
      <c r="O38" s="73"/>
      <c r="P38" s="73"/>
      <c r="Q38" s="73"/>
      <c r="R38" s="1188">
        <f t="shared" ref="R38:R39" si="48">K38</f>
        <v>628</v>
      </c>
      <c r="S38" s="1190">
        <v>0.1</v>
      </c>
      <c r="T38" s="1188">
        <f t="shared" ref="T38:T39" si="49">R38*S38</f>
        <v>62.800000000000004</v>
      </c>
      <c r="U38" s="1188">
        <f t="shared" ref="U38:U39" si="50">R38*(1-S38)</f>
        <v>565.20000000000005</v>
      </c>
      <c r="V38" s="1188">
        <f t="shared" ref="V38:V39" si="51">U38</f>
        <v>565.20000000000005</v>
      </c>
      <c r="W38" s="1188">
        <f t="shared" ref="W38:W39" si="52">V38*$D$83</f>
        <v>15769.08</v>
      </c>
      <c r="X38" s="1191">
        <f t="shared" ref="X38:X39" si="53">J38+W38</f>
        <v>17492.080000000002</v>
      </c>
      <c r="Y38" s="161"/>
      <c r="Z38" s="161"/>
    </row>
    <row r="39" spans="1:26" ht="12.75" customHeight="1" x14ac:dyDescent="0.2">
      <c r="A39" s="161"/>
      <c r="B39" s="385"/>
      <c r="C39" s="58" t="s">
        <v>1204</v>
      </c>
      <c r="D39" s="1183">
        <v>4.0999999999999996</v>
      </c>
      <c r="E39" s="1185">
        <f t="shared" si="47"/>
        <v>3719457.2699999996</v>
      </c>
      <c r="F39" s="1186"/>
      <c r="G39" s="1186"/>
      <c r="H39" s="887">
        <v>1996</v>
      </c>
      <c r="I39" s="1187">
        <v>2010</v>
      </c>
      <c r="J39" s="1188">
        <f>3189</f>
        <v>3189</v>
      </c>
      <c r="K39" s="1188">
        <f>1162</f>
        <v>1162</v>
      </c>
      <c r="L39" s="1189"/>
      <c r="M39" s="73"/>
      <c r="N39" s="1189"/>
      <c r="O39" s="73"/>
      <c r="P39" s="73"/>
      <c r="Q39" s="73"/>
      <c r="R39" s="1188">
        <f t="shared" si="48"/>
        <v>1162</v>
      </c>
      <c r="S39" s="1190">
        <v>0.1</v>
      </c>
      <c r="T39" s="1188">
        <f t="shared" si="49"/>
        <v>116.2</v>
      </c>
      <c r="U39" s="1188">
        <f t="shared" si="50"/>
        <v>1045.8</v>
      </c>
      <c r="V39" s="1188">
        <f t="shared" si="51"/>
        <v>1045.8</v>
      </c>
      <c r="W39" s="1188">
        <f t="shared" si="52"/>
        <v>29177.819999999996</v>
      </c>
      <c r="X39" s="1191">
        <f t="shared" si="53"/>
        <v>32366.819999999996</v>
      </c>
      <c r="Y39" s="161"/>
      <c r="Z39" s="161"/>
    </row>
    <row r="40" spans="1:26" ht="12.75" customHeight="1" x14ac:dyDescent="0.2">
      <c r="A40" s="161"/>
      <c r="B40" s="385"/>
      <c r="C40" s="58"/>
      <c r="D40" s="1194"/>
      <c r="E40" s="133"/>
      <c r="F40" s="1186"/>
      <c r="G40" s="1186"/>
      <c r="H40" s="887"/>
      <c r="I40" s="1187"/>
      <c r="J40" s="73"/>
      <c r="K40" s="73"/>
      <c r="L40" s="1189"/>
      <c r="M40" s="73"/>
      <c r="N40" s="1189"/>
      <c r="O40" s="73"/>
      <c r="P40" s="73"/>
      <c r="Q40" s="73"/>
      <c r="R40" s="73"/>
      <c r="S40" s="58"/>
      <c r="T40" s="73"/>
      <c r="U40" s="73"/>
      <c r="V40" s="73"/>
      <c r="W40" s="73"/>
      <c r="X40" s="1197"/>
      <c r="Y40" s="161"/>
      <c r="Z40" s="161"/>
    </row>
    <row r="41" spans="1:26" ht="12.75" customHeight="1" x14ac:dyDescent="0.2">
      <c r="A41" s="161"/>
      <c r="B41" s="1173" t="s">
        <v>1214</v>
      </c>
      <c r="C41" s="58" t="s">
        <v>1215</v>
      </c>
      <c r="D41" s="1183">
        <v>1.0008999999999999</v>
      </c>
      <c r="E41" s="1185">
        <f t="shared" ref="E41:E43" si="54">D41*1000000*0.9071847</f>
        <v>908001.16622999986</v>
      </c>
      <c r="F41" s="1186"/>
      <c r="G41" s="1186">
        <f t="shared" ref="G41:G43" si="55">F41*0.9071847</f>
        <v>0</v>
      </c>
      <c r="H41" s="887">
        <v>1991</v>
      </c>
      <c r="I41" s="1187">
        <v>2504</v>
      </c>
      <c r="J41" s="1188">
        <f>159.8</f>
        <v>159.80000000000001</v>
      </c>
      <c r="K41" s="1188">
        <f>58.24</f>
        <v>58.24</v>
      </c>
      <c r="L41" s="1189"/>
      <c r="M41" s="73"/>
      <c r="N41" s="1189"/>
      <c r="O41" s="73"/>
      <c r="P41" s="73"/>
      <c r="Q41" s="73"/>
      <c r="R41" s="1188">
        <f>K41</f>
        <v>58.24</v>
      </c>
      <c r="S41" s="1190">
        <v>0.1</v>
      </c>
      <c r="T41" s="1188">
        <f t="shared" ref="T41:T43" si="56">R41*S41</f>
        <v>5.8240000000000007</v>
      </c>
      <c r="U41" s="1188">
        <f t="shared" ref="U41:U43" si="57">R41*(1-S41)</f>
        <v>52.416000000000004</v>
      </c>
      <c r="V41" s="1188">
        <f>U41</f>
        <v>52.416000000000004</v>
      </c>
      <c r="W41" s="1188">
        <f t="shared" ref="W41:W43" si="58">V41*$D$83</f>
        <v>1462.4064000000001</v>
      </c>
      <c r="X41" s="1191">
        <f>J41+W41</f>
        <v>1622.2064</v>
      </c>
      <c r="Y41" s="161"/>
      <c r="Z41" s="161"/>
    </row>
    <row r="42" spans="1:26" ht="12.75" customHeight="1" x14ac:dyDescent="0.2">
      <c r="A42" s="161"/>
      <c r="B42" s="385"/>
      <c r="C42" s="1174" t="s">
        <v>1217</v>
      </c>
      <c r="D42" s="1175">
        <v>2.1</v>
      </c>
      <c r="E42" s="1176">
        <f t="shared" si="54"/>
        <v>1905087.8699999999</v>
      </c>
      <c r="F42" s="1177">
        <v>69200</v>
      </c>
      <c r="G42" s="1177">
        <f t="shared" si="55"/>
        <v>62777.181239999998</v>
      </c>
      <c r="H42" s="1178">
        <v>1968</v>
      </c>
      <c r="I42" s="1179">
        <v>1997</v>
      </c>
      <c r="J42" s="1180">
        <f>15000</f>
        <v>15000</v>
      </c>
      <c r="K42" s="1180">
        <f>5467</f>
        <v>5467</v>
      </c>
      <c r="L42" s="1181">
        <v>0.85</v>
      </c>
      <c r="M42" s="1180">
        <f>K42*L42</f>
        <v>4646.95</v>
      </c>
      <c r="N42" s="1181">
        <v>0.85</v>
      </c>
      <c r="O42" s="1180">
        <f>M42*N42</f>
        <v>3949.9074999999998</v>
      </c>
      <c r="P42" s="1180">
        <f>O42*2.75</f>
        <v>10862.245625</v>
      </c>
      <c r="Q42" s="1180">
        <f>M42*(1-N42)</f>
        <v>697.04250000000013</v>
      </c>
      <c r="R42" s="1180">
        <f>K42*(1-L42)</f>
        <v>820.05000000000007</v>
      </c>
      <c r="S42" s="1181">
        <v>0.1</v>
      </c>
      <c r="T42" s="1180">
        <f t="shared" si="56"/>
        <v>82.00500000000001</v>
      </c>
      <c r="U42" s="1180">
        <f t="shared" si="57"/>
        <v>738.04500000000007</v>
      </c>
      <c r="V42" s="1180">
        <f t="shared" ref="V42:V43" si="59">U42+Q42</f>
        <v>1435.0875000000001</v>
      </c>
      <c r="W42" s="1180">
        <f t="shared" si="58"/>
        <v>40038.941250000003</v>
      </c>
      <c r="X42" s="1182">
        <f t="shared" ref="X42:X43" si="60">J42+P42+W42</f>
        <v>65901.186874999999</v>
      </c>
      <c r="Y42" s="161"/>
      <c r="Z42" s="161"/>
    </row>
    <row r="43" spans="1:26" ht="12.75" customHeight="1" x14ac:dyDescent="0.2">
      <c r="A43" s="161"/>
      <c r="B43" s="385"/>
      <c r="C43" s="1307" t="s">
        <v>1220</v>
      </c>
      <c r="D43" s="1308">
        <v>4.2261879999999996</v>
      </c>
      <c r="E43" s="1185">
        <f t="shared" si="54"/>
        <v>3833933.0929235998</v>
      </c>
      <c r="F43" s="1186">
        <v>100000</v>
      </c>
      <c r="G43" s="1186">
        <f t="shared" si="55"/>
        <v>90718.47</v>
      </c>
      <c r="H43" s="887">
        <v>1995</v>
      </c>
      <c r="I43" s="1311">
        <v>2045</v>
      </c>
      <c r="J43" s="1312">
        <f>404.6</f>
        <v>404.6</v>
      </c>
      <c r="K43" s="1312">
        <f>159.7</f>
        <v>159.69999999999999</v>
      </c>
      <c r="L43" s="1314"/>
      <c r="M43" s="1316"/>
      <c r="N43" s="1314"/>
      <c r="O43" s="1316"/>
      <c r="P43" s="1316"/>
      <c r="Q43" s="1316"/>
      <c r="R43" s="1312">
        <f>K43</f>
        <v>159.69999999999999</v>
      </c>
      <c r="S43" s="1318">
        <v>0.1</v>
      </c>
      <c r="T43" s="1312">
        <f t="shared" si="56"/>
        <v>15.969999999999999</v>
      </c>
      <c r="U43" s="1312">
        <f t="shared" si="57"/>
        <v>143.72999999999999</v>
      </c>
      <c r="V43" s="1312">
        <f t="shared" si="59"/>
        <v>143.72999999999999</v>
      </c>
      <c r="W43" s="1312">
        <f t="shared" si="58"/>
        <v>4010.0669999999996</v>
      </c>
      <c r="X43" s="1320">
        <f t="shared" si="60"/>
        <v>4414.6669999999995</v>
      </c>
      <c r="Y43" s="161"/>
      <c r="Z43" s="161"/>
    </row>
    <row r="44" spans="1:26" ht="12.75" customHeight="1" x14ac:dyDescent="0.2">
      <c r="A44" s="161"/>
      <c r="B44" s="385"/>
      <c r="C44" s="58"/>
      <c r="D44" s="1194"/>
      <c r="E44" s="133"/>
      <c r="F44" s="1186"/>
      <c r="G44" s="1186"/>
      <c r="H44" s="887"/>
      <c r="I44" s="1187"/>
      <c r="J44" s="73"/>
      <c r="K44" s="73"/>
      <c r="L44" s="1189"/>
      <c r="M44" s="73"/>
      <c r="N44" s="1189"/>
      <c r="O44" s="73"/>
      <c r="P44" s="73"/>
      <c r="Q44" s="73"/>
      <c r="R44" s="73"/>
      <c r="S44" s="1189"/>
      <c r="T44" s="73"/>
      <c r="U44" s="73"/>
      <c r="V44" s="73"/>
      <c r="W44" s="73"/>
      <c r="X44" s="1197"/>
      <c r="Y44" s="161"/>
      <c r="Z44" s="161"/>
    </row>
    <row r="45" spans="1:26" ht="12.75" customHeight="1" x14ac:dyDescent="0.2">
      <c r="A45" s="161"/>
      <c r="B45" s="1173" t="s">
        <v>1227</v>
      </c>
      <c r="C45" s="58" t="s">
        <v>1229</v>
      </c>
      <c r="D45" s="1183">
        <v>1.537185</v>
      </c>
      <c r="E45" s="1185">
        <f t="shared" ref="E45:E46" si="61">D45*1000000*0.9071847</f>
        <v>1394510.7130694999</v>
      </c>
      <c r="F45" s="1186">
        <v>38000</v>
      </c>
      <c r="G45" s="1186">
        <f t="shared" ref="G45:G46" si="62">F45*0.9071847</f>
        <v>34473.018599999996</v>
      </c>
      <c r="H45" s="887">
        <v>1994</v>
      </c>
      <c r="I45" s="1187">
        <v>2028</v>
      </c>
      <c r="J45" s="1188">
        <v>1964</v>
      </c>
      <c r="K45" s="1188">
        <v>715.8</v>
      </c>
      <c r="L45" s="1189"/>
      <c r="M45" s="73"/>
      <c r="N45" s="1189"/>
      <c r="O45" s="73"/>
      <c r="P45" s="73"/>
      <c r="Q45" s="73"/>
      <c r="R45" s="1188">
        <f t="shared" ref="R45:R46" si="63">K45</f>
        <v>715.8</v>
      </c>
      <c r="S45" s="1190">
        <v>0.1</v>
      </c>
      <c r="T45" s="1188">
        <f t="shared" ref="T45:T46" si="64">R45*S45</f>
        <v>71.58</v>
      </c>
      <c r="U45" s="1188">
        <f t="shared" ref="U45:U46" si="65">R45*(1-S45)</f>
        <v>644.22</v>
      </c>
      <c r="V45" s="1188">
        <f t="shared" ref="V45:V46" si="66">U45</f>
        <v>644.22</v>
      </c>
      <c r="W45" s="1188">
        <f t="shared" ref="W45:W46" si="67">V45*$D$83</f>
        <v>17973.738000000001</v>
      </c>
      <c r="X45" s="1191">
        <f t="shared" ref="X45:X46" si="68">J45+W45</f>
        <v>19937.738000000001</v>
      </c>
      <c r="Y45" s="161"/>
      <c r="Z45" s="161"/>
    </row>
    <row r="46" spans="1:26" ht="12.75" customHeight="1" x14ac:dyDescent="0.2">
      <c r="A46" s="161"/>
      <c r="B46" s="385"/>
      <c r="C46" s="58" t="s">
        <v>1252</v>
      </c>
      <c r="D46" s="1183">
        <v>0.8</v>
      </c>
      <c r="E46" s="1185">
        <f t="shared" si="61"/>
        <v>725747.76</v>
      </c>
      <c r="F46" s="1186">
        <v>20000</v>
      </c>
      <c r="G46" s="1186">
        <f t="shared" si="62"/>
        <v>18143.694</v>
      </c>
      <c r="H46" s="887">
        <v>1974</v>
      </c>
      <c r="I46" s="1187">
        <v>1994</v>
      </c>
      <c r="J46" s="1188">
        <v>2513</v>
      </c>
      <c r="K46" s="1188">
        <v>916.1</v>
      </c>
      <c r="L46" s="1189"/>
      <c r="M46" s="73"/>
      <c r="N46" s="1189"/>
      <c r="O46" s="73"/>
      <c r="P46" s="73"/>
      <c r="Q46" s="73"/>
      <c r="R46" s="1188">
        <f t="shared" si="63"/>
        <v>916.1</v>
      </c>
      <c r="S46" s="1190">
        <v>0.1</v>
      </c>
      <c r="T46" s="1188">
        <f t="shared" si="64"/>
        <v>91.610000000000014</v>
      </c>
      <c r="U46" s="1188">
        <f t="shared" si="65"/>
        <v>824.49</v>
      </c>
      <c r="V46" s="1188">
        <f t="shared" si="66"/>
        <v>824.49</v>
      </c>
      <c r="W46" s="1188">
        <f t="shared" si="67"/>
        <v>23003.271000000001</v>
      </c>
      <c r="X46" s="1191">
        <f t="shared" si="68"/>
        <v>25516.271000000001</v>
      </c>
      <c r="Y46" s="161"/>
      <c r="Z46" s="161"/>
    </row>
    <row r="47" spans="1:26" ht="12.75" customHeight="1" x14ac:dyDescent="0.2">
      <c r="A47" s="161"/>
      <c r="B47" s="385"/>
      <c r="C47" s="58"/>
      <c r="D47" s="1194"/>
      <c r="E47" s="133"/>
      <c r="F47" s="1186"/>
      <c r="G47" s="1186"/>
      <c r="H47" s="887"/>
      <c r="I47" s="1187"/>
      <c r="J47" s="73"/>
      <c r="K47" s="73"/>
      <c r="L47" s="1189"/>
      <c r="M47" s="73"/>
      <c r="N47" s="1189"/>
      <c r="O47" s="73"/>
      <c r="P47" s="73"/>
      <c r="Q47" s="73"/>
      <c r="R47" s="73"/>
      <c r="S47" s="1189"/>
      <c r="T47" s="73"/>
      <c r="U47" s="73"/>
      <c r="V47" s="73"/>
      <c r="W47" s="73"/>
      <c r="X47" s="1197"/>
      <c r="Y47" s="161"/>
      <c r="Z47" s="161"/>
    </row>
    <row r="48" spans="1:26" ht="12.75" customHeight="1" x14ac:dyDescent="0.2">
      <c r="A48" s="161"/>
      <c r="B48" s="1173" t="s">
        <v>1261</v>
      </c>
      <c r="C48" s="58" t="s">
        <v>1262</v>
      </c>
      <c r="D48" s="1183">
        <v>2.98</v>
      </c>
      <c r="E48" s="1185">
        <f>D48*1000000*0.9071847</f>
        <v>2703410.406</v>
      </c>
      <c r="F48" s="1186">
        <v>74000</v>
      </c>
      <c r="G48" s="1186">
        <f>F48*0.9071847</f>
        <v>67131.667799999996</v>
      </c>
      <c r="H48" s="887">
        <v>1986</v>
      </c>
      <c r="I48" s="1187">
        <v>2008</v>
      </c>
      <c r="J48" s="1188">
        <f>4760</f>
        <v>4760</v>
      </c>
      <c r="K48" s="1188">
        <f>1735</f>
        <v>1735</v>
      </c>
      <c r="L48" s="1189"/>
      <c r="M48" s="73"/>
      <c r="N48" s="1189"/>
      <c r="O48" s="73"/>
      <c r="P48" s="73"/>
      <c r="Q48" s="73"/>
      <c r="R48" s="1188">
        <f>K48</f>
        <v>1735</v>
      </c>
      <c r="S48" s="1190">
        <v>0.1</v>
      </c>
      <c r="T48" s="1188">
        <f>R48*S48</f>
        <v>173.5</v>
      </c>
      <c r="U48" s="1188">
        <f>R48*(1-S48)</f>
        <v>1561.5</v>
      </c>
      <c r="V48" s="1188">
        <f>U48</f>
        <v>1561.5</v>
      </c>
      <c r="W48" s="1188">
        <f>V48*$D$83</f>
        <v>43565.85</v>
      </c>
      <c r="X48" s="1191">
        <f>J48+W48</f>
        <v>48325.85</v>
      </c>
      <c r="Y48" s="161"/>
      <c r="Z48" s="161"/>
    </row>
    <row r="49" spans="1:26" ht="12.75" customHeight="1" x14ac:dyDescent="0.2">
      <c r="A49" s="161"/>
      <c r="B49" s="1173"/>
      <c r="C49" s="58"/>
      <c r="D49" s="1194"/>
      <c r="E49" s="133"/>
      <c r="F49" s="1186"/>
      <c r="G49" s="1186"/>
      <c r="H49" s="887"/>
      <c r="I49" s="1187"/>
      <c r="J49" s="73"/>
      <c r="K49" s="73"/>
      <c r="L49" s="1189"/>
      <c r="M49" s="73"/>
      <c r="N49" s="1189"/>
      <c r="O49" s="73"/>
      <c r="P49" s="73"/>
      <c r="Q49" s="73"/>
      <c r="R49" s="73"/>
      <c r="S49" s="1189"/>
      <c r="T49" s="73"/>
      <c r="U49" s="73"/>
      <c r="V49" s="73"/>
      <c r="W49" s="73"/>
      <c r="X49" s="1197"/>
      <c r="Y49" s="161"/>
      <c r="Z49" s="161"/>
    </row>
    <row r="50" spans="1:26" ht="12.75" customHeight="1" x14ac:dyDescent="0.2">
      <c r="A50" s="161"/>
      <c r="B50" s="1173" t="s">
        <v>1264</v>
      </c>
      <c r="C50" s="1345" t="s">
        <v>1265</v>
      </c>
      <c r="D50" s="1346"/>
      <c r="E50" s="1348"/>
      <c r="F50" s="1349"/>
      <c r="G50" s="1349"/>
      <c r="H50" s="1351"/>
      <c r="I50" s="1352"/>
      <c r="J50" s="1353">
        <v>19300</v>
      </c>
      <c r="K50" s="1353">
        <v>7033</v>
      </c>
      <c r="L50" s="1354">
        <v>0.93159999999999998</v>
      </c>
      <c r="M50" s="1353">
        <f t="shared" ref="M50:M51" si="69">K50*L50</f>
        <v>6551.9427999999998</v>
      </c>
      <c r="N50" s="1354">
        <v>0.97</v>
      </c>
      <c r="O50" s="1353">
        <f t="shared" ref="O50:O51" si="70">M50*N50</f>
        <v>6355.3845160000001</v>
      </c>
      <c r="P50" s="1353">
        <f t="shared" ref="P50:P51" si="71">O50*2.75</f>
        <v>17477.307419000001</v>
      </c>
      <c r="Q50" s="1353">
        <f t="shared" ref="Q50:Q51" si="72">M50*(1-N50)</f>
        <v>196.55828400000016</v>
      </c>
      <c r="R50" s="1353">
        <f t="shared" ref="R50:R51" si="73">K50*(1-L50)</f>
        <v>481.05720000000014</v>
      </c>
      <c r="S50" s="1354">
        <v>0.1</v>
      </c>
      <c r="T50" s="1353">
        <f t="shared" ref="T50:T51" si="74">R50*S50</f>
        <v>48.105720000000019</v>
      </c>
      <c r="U50" s="1353">
        <f t="shared" ref="U50:U51" si="75">R50*(1-S50)</f>
        <v>432.95148000000012</v>
      </c>
      <c r="V50" s="1353">
        <f t="shared" ref="V50:V51" si="76">U50+Q50</f>
        <v>629.50976400000025</v>
      </c>
      <c r="W50" s="1353">
        <f t="shared" ref="W50:W51" si="77">V50*$D$83</f>
        <v>17563.322415600007</v>
      </c>
      <c r="X50" s="1362">
        <f t="shared" ref="X50:X51" si="78">J50+P50+W50</f>
        <v>54340.629834600011</v>
      </c>
      <c r="Y50" s="161"/>
      <c r="Z50" s="161"/>
    </row>
    <row r="51" spans="1:26" ht="12.75" customHeight="1" x14ac:dyDescent="0.2">
      <c r="A51" s="161"/>
      <c r="B51" s="1173"/>
      <c r="C51" s="1345" t="s">
        <v>1268</v>
      </c>
      <c r="D51" s="1346"/>
      <c r="E51" s="1348"/>
      <c r="F51" s="1349"/>
      <c r="G51" s="1349"/>
      <c r="H51" s="1351"/>
      <c r="I51" s="1352"/>
      <c r="J51" s="1353">
        <f>12430</f>
        <v>12430</v>
      </c>
      <c r="K51" s="1353">
        <f>4530</f>
        <v>4530</v>
      </c>
      <c r="L51" s="1354">
        <v>0.47299999999999998</v>
      </c>
      <c r="M51" s="1353">
        <f t="shared" si="69"/>
        <v>2142.69</v>
      </c>
      <c r="N51" s="1354">
        <v>0.97</v>
      </c>
      <c r="O51" s="1353">
        <f t="shared" si="70"/>
        <v>2078.4092999999998</v>
      </c>
      <c r="P51" s="1353">
        <f t="shared" si="71"/>
        <v>5715.6255749999991</v>
      </c>
      <c r="Q51" s="1353">
        <f t="shared" si="72"/>
        <v>64.280700000000053</v>
      </c>
      <c r="R51" s="1353">
        <f t="shared" si="73"/>
        <v>2387.31</v>
      </c>
      <c r="S51" s="1354">
        <v>0.1</v>
      </c>
      <c r="T51" s="1353">
        <f t="shared" si="74"/>
        <v>238.73099999999999</v>
      </c>
      <c r="U51" s="1353">
        <f t="shared" si="75"/>
        <v>2148.5790000000002</v>
      </c>
      <c r="V51" s="1353">
        <f t="shared" si="76"/>
        <v>2212.8597000000004</v>
      </c>
      <c r="W51" s="1353">
        <f t="shared" si="77"/>
        <v>61738.785630000006</v>
      </c>
      <c r="X51" s="1362">
        <f t="shared" si="78"/>
        <v>79884.411205000011</v>
      </c>
      <c r="Y51" s="161"/>
      <c r="Z51" s="161"/>
    </row>
    <row r="52" spans="1:26" ht="12.75" customHeight="1" x14ac:dyDescent="0.2">
      <c r="A52" s="161"/>
      <c r="B52" s="385"/>
      <c r="C52" s="58"/>
      <c r="D52" s="1194"/>
      <c r="E52" s="133"/>
      <c r="F52" s="1186"/>
      <c r="G52" s="1186"/>
      <c r="H52" s="887"/>
      <c r="I52" s="1187"/>
      <c r="J52" s="73"/>
      <c r="K52" s="73"/>
      <c r="L52" s="1189"/>
      <c r="M52" s="73"/>
      <c r="N52" s="1189"/>
      <c r="O52" s="73"/>
      <c r="P52" s="73"/>
      <c r="Q52" s="73"/>
      <c r="R52" s="73"/>
      <c r="S52" s="1189"/>
      <c r="T52" s="73"/>
      <c r="U52" s="73"/>
      <c r="V52" s="73"/>
      <c r="W52" s="73"/>
      <c r="X52" s="1197"/>
      <c r="Y52" s="161"/>
      <c r="Z52" s="161"/>
    </row>
    <row r="53" spans="1:26" ht="12.75" customHeight="1" x14ac:dyDescent="0.2">
      <c r="A53" s="161"/>
      <c r="B53" s="1173" t="s">
        <v>1271</v>
      </c>
      <c r="C53" s="1174" t="s">
        <v>1272</v>
      </c>
      <c r="D53" s="1175">
        <v>9.9779999999999998</v>
      </c>
      <c r="E53" s="1176">
        <f>D53*1000000*0.9071847</f>
        <v>9051888.9365999997</v>
      </c>
      <c r="F53" s="1177">
        <v>225000</v>
      </c>
      <c r="G53" s="1177">
        <f>F53*0.9071847</f>
        <v>204116.5575</v>
      </c>
      <c r="H53" s="1178">
        <v>1980</v>
      </c>
      <c r="I53" s="1179">
        <v>2122</v>
      </c>
      <c r="J53" s="1180">
        <v>11610</v>
      </c>
      <c r="K53" s="1180">
        <v>4233</v>
      </c>
      <c r="L53" s="1181">
        <v>0.79</v>
      </c>
      <c r="M53" s="1180">
        <f>K53*L53</f>
        <v>3344.07</v>
      </c>
      <c r="N53" s="1181">
        <v>0.98</v>
      </c>
      <c r="O53" s="1180">
        <f>M53*N53</f>
        <v>3277.1886</v>
      </c>
      <c r="P53" s="1180">
        <f>O53*2.75</f>
        <v>9012.26865</v>
      </c>
      <c r="Q53" s="1180">
        <f>M53*(1-N53)</f>
        <v>66.881400000000056</v>
      </c>
      <c r="R53" s="1180">
        <f>K53*(1-L53)</f>
        <v>888.92999999999984</v>
      </c>
      <c r="S53" s="1181">
        <v>0.1</v>
      </c>
      <c r="T53" s="1180">
        <f>R53*S53</f>
        <v>88.892999999999986</v>
      </c>
      <c r="U53" s="1180">
        <f>R53*(1-S53)</f>
        <v>800.03699999999992</v>
      </c>
      <c r="V53" s="1180">
        <f>U53+Q53</f>
        <v>866.91840000000002</v>
      </c>
      <c r="W53" s="1180">
        <f>V53*$D$83</f>
        <v>24187.023359999999</v>
      </c>
      <c r="X53" s="1182">
        <f>J53+P53+W53</f>
        <v>44809.292009999997</v>
      </c>
      <c r="Y53" s="161"/>
      <c r="Z53" s="161"/>
    </row>
    <row r="54" spans="1:26" ht="12.75" customHeight="1" x14ac:dyDescent="0.2">
      <c r="A54" s="161"/>
      <c r="B54" s="1173"/>
      <c r="C54" s="58"/>
      <c r="D54" s="1194"/>
      <c r="E54" s="133"/>
      <c r="F54" s="1186"/>
      <c r="G54" s="1186"/>
      <c r="H54" s="887"/>
      <c r="I54" s="1187"/>
      <c r="J54" s="73"/>
      <c r="K54" s="73"/>
      <c r="L54" s="1189"/>
      <c r="M54" s="73"/>
      <c r="N54" s="1189"/>
      <c r="O54" s="73"/>
      <c r="P54" s="73"/>
      <c r="Q54" s="73"/>
      <c r="R54" s="73"/>
      <c r="S54" s="1189"/>
      <c r="T54" s="73"/>
      <c r="U54" s="73"/>
      <c r="V54" s="73"/>
      <c r="W54" s="73"/>
      <c r="X54" s="1197"/>
      <c r="Y54" s="161"/>
      <c r="Z54" s="161"/>
    </row>
    <row r="55" spans="1:26" ht="12.75" customHeight="1" x14ac:dyDescent="0.2">
      <c r="A55" s="161"/>
      <c r="B55" s="1173" t="s">
        <v>1284</v>
      </c>
      <c r="C55" s="58" t="s">
        <v>1285</v>
      </c>
      <c r="D55" s="1183">
        <v>0.6</v>
      </c>
      <c r="E55" s="1185">
        <f>D55*1000000*0.9071847</f>
        <v>544310.81999999995</v>
      </c>
      <c r="F55" s="1186">
        <v>20000</v>
      </c>
      <c r="G55" s="1186">
        <f>F55*0.9071847</f>
        <v>18143.694</v>
      </c>
      <c r="H55" s="887">
        <v>1964</v>
      </c>
      <c r="I55" s="1187">
        <v>1992</v>
      </c>
      <c r="J55" s="1188">
        <v>1575</v>
      </c>
      <c r="K55" s="1188">
        <v>574</v>
      </c>
      <c r="L55" s="1189"/>
      <c r="M55" s="73"/>
      <c r="N55" s="1189"/>
      <c r="O55" s="73"/>
      <c r="P55" s="73"/>
      <c r="Q55" s="73"/>
      <c r="R55" s="1188">
        <f>K55</f>
        <v>574</v>
      </c>
      <c r="S55" s="1190">
        <v>0.1</v>
      </c>
      <c r="T55" s="1188">
        <f>R55*S55</f>
        <v>57.400000000000006</v>
      </c>
      <c r="U55" s="1188">
        <f>R55*(1-S55)</f>
        <v>516.6</v>
      </c>
      <c r="V55" s="1188">
        <f>U55</f>
        <v>516.6</v>
      </c>
      <c r="W55" s="1188">
        <f>V55*$D$83</f>
        <v>14413.14</v>
      </c>
      <c r="X55" s="1191">
        <f>J55+W55</f>
        <v>15988.14</v>
      </c>
      <c r="Y55" s="161"/>
      <c r="Z55" s="161"/>
    </row>
    <row r="56" spans="1:26" ht="12.75" customHeight="1" x14ac:dyDescent="0.2">
      <c r="A56" s="161"/>
      <c r="B56" s="385"/>
      <c r="C56" s="58"/>
      <c r="D56" s="1194"/>
      <c r="E56" s="133"/>
      <c r="F56" s="1186"/>
      <c r="G56" s="1186"/>
      <c r="H56" s="887"/>
      <c r="I56" s="1187"/>
      <c r="J56" s="73"/>
      <c r="K56" s="73"/>
      <c r="L56" s="1189"/>
      <c r="M56" s="73"/>
      <c r="N56" s="1189"/>
      <c r="O56" s="73"/>
      <c r="P56" s="73"/>
      <c r="Q56" s="73"/>
      <c r="R56" s="73"/>
      <c r="S56" s="1189"/>
      <c r="T56" s="73"/>
      <c r="U56" s="73"/>
      <c r="V56" s="73"/>
      <c r="W56" s="73"/>
      <c r="X56" s="1197"/>
      <c r="Y56" s="161"/>
      <c r="Z56" s="161"/>
    </row>
    <row r="57" spans="1:26" ht="12.75" customHeight="1" x14ac:dyDescent="0.2">
      <c r="A57" s="161"/>
      <c r="B57" s="1173" t="s">
        <v>1289</v>
      </c>
      <c r="C57" s="1345" t="s">
        <v>1290</v>
      </c>
      <c r="D57" s="1367">
        <v>7.1</v>
      </c>
      <c r="E57" s="1368">
        <f t="shared" ref="E57:E60" si="79">D57*1000000*0.9071847</f>
        <v>6441011.3700000001</v>
      </c>
      <c r="F57" s="1349">
        <v>284000</v>
      </c>
      <c r="G57" s="1349">
        <f t="shared" ref="G57:G60" si="80">F57*0.9071847</f>
        <v>257640.45479999998</v>
      </c>
      <c r="H57" s="1351">
        <v>1968</v>
      </c>
      <c r="I57" s="1352">
        <v>1993</v>
      </c>
      <c r="J57" s="1353">
        <v>20280</v>
      </c>
      <c r="K57" s="1353">
        <v>7393</v>
      </c>
      <c r="L57" s="1354">
        <v>0.627</v>
      </c>
      <c r="M57" s="1353">
        <f t="shared" ref="M57:M59" si="81">K57*L57</f>
        <v>4635.4110000000001</v>
      </c>
      <c r="N57" s="1354">
        <v>0.997</v>
      </c>
      <c r="O57" s="1353">
        <f t="shared" ref="O57:O59" si="82">M57*N57</f>
        <v>4621.5047670000004</v>
      </c>
      <c r="P57" s="1353">
        <f t="shared" ref="P57:P59" si="83">O57*2.75</f>
        <v>12709.138109250001</v>
      </c>
      <c r="Q57" s="1353">
        <f t="shared" ref="Q57:Q59" si="84">M57*(1-N57)</f>
        <v>13.906233000000013</v>
      </c>
      <c r="R57" s="1353">
        <f t="shared" ref="R57:R59" si="85">K57*(1-L57)</f>
        <v>2757.5889999999999</v>
      </c>
      <c r="S57" s="1354">
        <v>0.1</v>
      </c>
      <c r="T57" s="1353">
        <f t="shared" ref="T57:T60" si="86">R57*S57</f>
        <v>275.75889999999998</v>
      </c>
      <c r="U57" s="1353">
        <f t="shared" ref="U57:U60" si="87">R57*(1-S57)</f>
        <v>2481.8301000000001</v>
      </c>
      <c r="V57" s="1353">
        <f t="shared" ref="V57:V59" si="88">U57+Q57</f>
        <v>2495.7363330000003</v>
      </c>
      <c r="W57" s="1353">
        <f t="shared" ref="W57:W60" si="89">V57*$D$83</f>
        <v>69631.043690700011</v>
      </c>
      <c r="X57" s="1362">
        <f t="shared" ref="X57:X59" si="90">J57+P57+W57</f>
        <v>102620.18179995002</v>
      </c>
      <c r="Y57" s="161"/>
      <c r="Z57" s="161"/>
    </row>
    <row r="58" spans="1:26" ht="12.75" customHeight="1" x14ac:dyDescent="0.2">
      <c r="A58" s="161"/>
      <c r="B58" s="385"/>
      <c r="C58" s="1345" t="s">
        <v>1304</v>
      </c>
      <c r="D58" s="1367">
        <v>16</v>
      </c>
      <c r="E58" s="1368">
        <f t="shared" si="79"/>
        <v>14514955.199999999</v>
      </c>
      <c r="F58" s="1349">
        <v>280000</v>
      </c>
      <c r="G58" s="1349">
        <f t="shared" si="80"/>
        <v>254011.71599999999</v>
      </c>
      <c r="H58" s="1352">
        <v>1992</v>
      </c>
      <c r="I58" s="1352">
        <v>2016</v>
      </c>
      <c r="J58" s="1353">
        <v>27110</v>
      </c>
      <c r="K58" s="1353">
        <v>9881</v>
      </c>
      <c r="L58" s="1354">
        <v>0.627</v>
      </c>
      <c r="M58" s="1353">
        <f t="shared" si="81"/>
        <v>6195.3869999999997</v>
      </c>
      <c r="N58" s="1354">
        <v>0.997</v>
      </c>
      <c r="O58" s="1353">
        <f t="shared" si="82"/>
        <v>6176.8008389999995</v>
      </c>
      <c r="P58" s="1353">
        <f t="shared" si="83"/>
        <v>16986.202307249998</v>
      </c>
      <c r="Q58" s="1353">
        <f t="shared" si="84"/>
        <v>18.586161000000015</v>
      </c>
      <c r="R58" s="1353">
        <f t="shared" si="85"/>
        <v>3685.6129999999998</v>
      </c>
      <c r="S58" s="1354">
        <v>0.1</v>
      </c>
      <c r="T58" s="1353">
        <f t="shared" si="86"/>
        <v>368.56130000000002</v>
      </c>
      <c r="U58" s="1353">
        <f t="shared" si="87"/>
        <v>3317.0517</v>
      </c>
      <c r="V58" s="1353">
        <f t="shared" si="88"/>
        <v>3335.6378610000002</v>
      </c>
      <c r="W58" s="1353">
        <f t="shared" si="89"/>
        <v>93064.296321899994</v>
      </c>
      <c r="X58" s="1362">
        <f t="shared" si="90"/>
        <v>137160.49862914998</v>
      </c>
      <c r="Y58" s="161"/>
      <c r="Z58" s="161"/>
    </row>
    <row r="59" spans="1:26" ht="12.75" customHeight="1" x14ac:dyDescent="0.2">
      <c r="A59" s="161"/>
      <c r="B59" s="385"/>
      <c r="C59" s="1174" t="s">
        <v>1309</v>
      </c>
      <c r="D59" s="1175">
        <v>7.5</v>
      </c>
      <c r="E59" s="1176">
        <f t="shared" si="79"/>
        <v>6803885.25</v>
      </c>
      <c r="F59" s="1177">
        <v>280000</v>
      </c>
      <c r="G59" s="1177">
        <f t="shared" si="80"/>
        <v>254011.71599999999</v>
      </c>
      <c r="H59" s="1178">
        <v>1978</v>
      </c>
      <c r="I59" s="1179">
        <v>2000</v>
      </c>
      <c r="J59" s="1180">
        <v>25620</v>
      </c>
      <c r="K59" s="1180">
        <v>9336</v>
      </c>
      <c r="L59" s="1181">
        <v>0.94299999999999995</v>
      </c>
      <c r="M59" s="1180">
        <f t="shared" si="81"/>
        <v>8803.848</v>
      </c>
      <c r="N59" s="1181">
        <v>0.98</v>
      </c>
      <c r="O59" s="1180">
        <f t="shared" si="82"/>
        <v>8627.7710399999996</v>
      </c>
      <c r="P59" s="1180">
        <f t="shared" si="83"/>
        <v>23726.370360000001</v>
      </c>
      <c r="Q59" s="1180">
        <f t="shared" si="84"/>
        <v>176.07696000000016</v>
      </c>
      <c r="R59" s="1180">
        <f t="shared" si="85"/>
        <v>532.1520000000005</v>
      </c>
      <c r="S59" s="1181">
        <v>0.1</v>
      </c>
      <c r="T59" s="1180">
        <f t="shared" si="86"/>
        <v>53.215200000000053</v>
      </c>
      <c r="U59" s="1180">
        <f t="shared" si="87"/>
        <v>478.93680000000046</v>
      </c>
      <c r="V59" s="1180">
        <f t="shared" si="88"/>
        <v>655.01376000000062</v>
      </c>
      <c r="W59" s="1180">
        <f t="shared" si="89"/>
        <v>18274.883904000017</v>
      </c>
      <c r="X59" s="1182">
        <f t="shared" si="90"/>
        <v>67621.254264000017</v>
      </c>
      <c r="Y59" s="161"/>
      <c r="Z59" s="161"/>
    </row>
    <row r="60" spans="1:26" ht="12.75" customHeight="1" x14ac:dyDescent="0.2">
      <c r="A60" s="161"/>
      <c r="B60" s="385"/>
      <c r="C60" s="58" t="s">
        <v>1316</v>
      </c>
      <c r="D60" s="1183">
        <v>1.6</v>
      </c>
      <c r="E60" s="1185">
        <f t="shared" si="79"/>
        <v>1451495.52</v>
      </c>
      <c r="F60" s="1186">
        <v>34000</v>
      </c>
      <c r="G60" s="1186">
        <f t="shared" si="80"/>
        <v>30844.2798</v>
      </c>
      <c r="H60" s="887">
        <v>1960</v>
      </c>
      <c r="I60" s="1187">
        <v>2004</v>
      </c>
      <c r="J60" s="1188">
        <v>5191</v>
      </c>
      <c r="K60" s="1188">
        <v>1892</v>
      </c>
      <c r="L60" s="1189"/>
      <c r="M60" s="73"/>
      <c r="N60" s="1189"/>
      <c r="O60" s="73"/>
      <c r="P60" s="73"/>
      <c r="Q60" s="73"/>
      <c r="R60" s="1188">
        <f>K60</f>
        <v>1892</v>
      </c>
      <c r="S60" s="1190">
        <v>0.1</v>
      </c>
      <c r="T60" s="1188">
        <f t="shared" si="86"/>
        <v>189.20000000000002</v>
      </c>
      <c r="U60" s="1188">
        <f t="shared" si="87"/>
        <v>1702.8</v>
      </c>
      <c r="V60" s="1188">
        <f>U60</f>
        <v>1702.8</v>
      </c>
      <c r="W60" s="1188">
        <f t="shared" si="89"/>
        <v>47508.119999999995</v>
      </c>
      <c r="X60" s="1191">
        <f>J60+W60</f>
        <v>52699.119999999995</v>
      </c>
      <c r="Y60" s="161"/>
      <c r="Z60" s="161"/>
    </row>
    <row r="61" spans="1:26" ht="12.75" customHeight="1" x14ac:dyDescent="0.2">
      <c r="A61" s="161"/>
      <c r="B61" s="385"/>
      <c r="C61" s="58"/>
      <c r="D61" s="1194"/>
      <c r="E61" s="133"/>
      <c r="F61" s="1186"/>
      <c r="G61" s="1186"/>
      <c r="H61" s="887"/>
      <c r="I61" s="1187"/>
      <c r="J61" s="73"/>
      <c r="K61" s="73"/>
      <c r="L61" s="1189"/>
      <c r="M61" s="73"/>
      <c r="N61" s="1189"/>
      <c r="O61" s="73"/>
      <c r="P61" s="73"/>
      <c r="Q61" s="73"/>
      <c r="R61" s="73"/>
      <c r="S61" s="1189"/>
      <c r="T61" s="73"/>
      <c r="U61" s="73"/>
      <c r="V61" s="73"/>
      <c r="W61" s="73"/>
      <c r="X61" s="1197"/>
      <c r="Y61" s="161"/>
      <c r="Z61" s="161"/>
    </row>
    <row r="62" spans="1:26" ht="12.75" customHeight="1" x14ac:dyDescent="0.2">
      <c r="A62" s="161"/>
      <c r="B62" s="1173" t="s">
        <v>1320</v>
      </c>
      <c r="C62" s="58" t="s">
        <v>1321</v>
      </c>
      <c r="D62" s="1183">
        <v>1.61</v>
      </c>
      <c r="E62" s="1185">
        <v>393341</v>
      </c>
      <c r="F62" s="1186"/>
      <c r="G62" s="1186">
        <f t="shared" ref="G62:G63" si="91">F62*0.9071847</f>
        <v>0</v>
      </c>
      <c r="H62" s="1187">
        <v>1998</v>
      </c>
      <c r="I62" s="1187">
        <v>2023</v>
      </c>
      <c r="J62" s="1188">
        <v>1136</v>
      </c>
      <c r="K62" s="1188">
        <v>413.9</v>
      </c>
      <c r="L62" s="1189"/>
      <c r="M62" s="73"/>
      <c r="N62" s="1189"/>
      <c r="O62" s="73"/>
      <c r="P62" s="73"/>
      <c r="Q62" s="73"/>
      <c r="R62" s="1188">
        <f t="shared" ref="R62:R63" si="92">K62</f>
        <v>413.9</v>
      </c>
      <c r="S62" s="1190">
        <v>0.1</v>
      </c>
      <c r="T62" s="1188">
        <f t="shared" ref="T62:T63" si="93">R62*S62</f>
        <v>41.39</v>
      </c>
      <c r="U62" s="1188">
        <f t="shared" ref="U62:U63" si="94">R62*(1-S62)</f>
        <v>372.51</v>
      </c>
      <c r="V62" s="1188">
        <f t="shared" ref="V62:V63" si="95">U62</f>
        <v>372.51</v>
      </c>
      <c r="W62" s="1188">
        <f t="shared" ref="W62:W63" si="96">V62*$D$83</f>
        <v>10393.028999999999</v>
      </c>
      <c r="X62" s="1191">
        <f t="shared" ref="X62:X63" si="97">J62+W62</f>
        <v>11529.028999999999</v>
      </c>
      <c r="Y62" s="161"/>
      <c r="Z62" s="161"/>
    </row>
    <row r="63" spans="1:26" ht="12.75" customHeight="1" x14ac:dyDescent="0.2">
      <c r="A63" s="161"/>
      <c r="B63" s="385"/>
      <c r="C63" s="58" t="s">
        <v>1325</v>
      </c>
      <c r="D63" s="1194"/>
      <c r="E63" s="1185">
        <v>368200</v>
      </c>
      <c r="F63" s="1186"/>
      <c r="G63" s="1186">
        <f t="shared" si="91"/>
        <v>0</v>
      </c>
      <c r="H63" s="887">
        <v>1977</v>
      </c>
      <c r="I63" s="1187">
        <v>1998</v>
      </c>
      <c r="J63" s="1188">
        <v>1650</v>
      </c>
      <c r="K63" s="1188">
        <v>601.20000000000005</v>
      </c>
      <c r="L63" s="1189"/>
      <c r="M63" s="73"/>
      <c r="N63" s="1189"/>
      <c r="O63" s="73"/>
      <c r="P63" s="73"/>
      <c r="Q63" s="73"/>
      <c r="R63" s="1188">
        <f t="shared" si="92"/>
        <v>601.20000000000005</v>
      </c>
      <c r="S63" s="1190">
        <v>0.1</v>
      </c>
      <c r="T63" s="1188">
        <f t="shared" si="93"/>
        <v>60.120000000000005</v>
      </c>
      <c r="U63" s="1188">
        <f t="shared" si="94"/>
        <v>541.08000000000004</v>
      </c>
      <c r="V63" s="1188">
        <f t="shared" si="95"/>
        <v>541.08000000000004</v>
      </c>
      <c r="W63" s="1188">
        <f t="shared" si="96"/>
        <v>15096.132</v>
      </c>
      <c r="X63" s="1191">
        <f t="shared" si="97"/>
        <v>16746.131999999998</v>
      </c>
      <c r="Y63" s="161"/>
      <c r="Z63" s="161"/>
    </row>
    <row r="64" spans="1:26" ht="12.75" customHeight="1" x14ac:dyDescent="0.2">
      <c r="A64" s="161"/>
      <c r="B64" s="385"/>
      <c r="C64" s="58"/>
      <c r="D64" s="1194"/>
      <c r="E64" s="1185"/>
      <c r="F64" s="1186"/>
      <c r="G64" s="1186"/>
      <c r="H64" s="887"/>
      <c r="I64" s="1187"/>
      <c r="J64" s="73"/>
      <c r="K64" s="73"/>
      <c r="L64" s="1189"/>
      <c r="M64" s="73"/>
      <c r="N64" s="1189"/>
      <c r="O64" s="73"/>
      <c r="P64" s="73"/>
      <c r="Q64" s="73"/>
      <c r="R64" s="73"/>
      <c r="S64" s="1189"/>
      <c r="T64" s="73"/>
      <c r="U64" s="73"/>
      <c r="V64" s="73"/>
      <c r="W64" s="73"/>
      <c r="X64" s="1197"/>
      <c r="Y64" s="161"/>
      <c r="Z64" s="161"/>
    </row>
    <row r="65" spans="1:26" ht="12.75" customHeight="1" x14ac:dyDescent="0.2">
      <c r="A65" s="161"/>
      <c r="B65" s="1173" t="s">
        <v>1327</v>
      </c>
      <c r="C65" s="58" t="s">
        <v>1328</v>
      </c>
      <c r="D65" s="1183">
        <v>3.7512439999999998</v>
      </c>
      <c r="E65" s="1185">
        <f>D65*1000000*0.9071847</f>
        <v>3403071.1627667998</v>
      </c>
      <c r="F65" s="1186">
        <v>81800</v>
      </c>
      <c r="G65" s="1186">
        <f>F65*0.9071847</f>
        <v>74207.708459999994</v>
      </c>
      <c r="H65" s="887">
        <v>1991</v>
      </c>
      <c r="I65" s="1187">
        <v>2010</v>
      </c>
      <c r="J65" s="1188">
        <v>8456</v>
      </c>
      <c r="K65" s="1188">
        <v>3082</v>
      </c>
      <c r="L65" s="1189"/>
      <c r="M65" s="73"/>
      <c r="N65" s="1189"/>
      <c r="O65" s="73"/>
      <c r="P65" s="73"/>
      <c r="Q65" s="73"/>
      <c r="R65" s="1188">
        <f>K65</f>
        <v>3082</v>
      </c>
      <c r="S65" s="1190">
        <v>0.1</v>
      </c>
      <c r="T65" s="1188">
        <f>R65*S65</f>
        <v>308.20000000000005</v>
      </c>
      <c r="U65" s="1188">
        <f>R65*(1-S65)</f>
        <v>2773.8</v>
      </c>
      <c r="V65" s="1188">
        <f>U65</f>
        <v>2773.8</v>
      </c>
      <c r="W65" s="1188">
        <f>V65*$D$83</f>
        <v>77389.02</v>
      </c>
      <c r="X65" s="1191">
        <f>J65+W65</f>
        <v>85845.02</v>
      </c>
      <c r="Y65" s="161"/>
      <c r="Z65" s="161"/>
    </row>
    <row r="66" spans="1:26" ht="12.75" customHeight="1" x14ac:dyDescent="0.2">
      <c r="A66" s="161"/>
      <c r="B66" s="385"/>
      <c r="C66" s="58"/>
      <c r="D66" s="1194"/>
      <c r="E66" s="133"/>
      <c r="F66" s="1186"/>
      <c r="G66" s="1186"/>
      <c r="H66" s="887"/>
      <c r="I66" s="1187"/>
      <c r="J66" s="73"/>
      <c r="K66" s="73"/>
      <c r="L66" s="1189"/>
      <c r="M66" s="73"/>
      <c r="N66" s="1189"/>
      <c r="O66" s="73"/>
      <c r="P66" s="73"/>
      <c r="Q66" s="73"/>
      <c r="R66" s="73"/>
      <c r="S66" s="58"/>
      <c r="T66" s="73"/>
      <c r="U66" s="73"/>
      <c r="V66" s="73"/>
      <c r="W66" s="73"/>
      <c r="X66" s="1197"/>
      <c r="Y66" s="161"/>
      <c r="Z66" s="161"/>
    </row>
    <row r="67" spans="1:26" ht="12.75" customHeight="1" x14ac:dyDescent="0.2">
      <c r="A67" s="161"/>
      <c r="B67" s="1173" t="s">
        <v>1332</v>
      </c>
      <c r="C67" s="58" t="s">
        <v>1333</v>
      </c>
      <c r="D67" s="1194"/>
      <c r="E67" s="1185">
        <v>89729.73</v>
      </c>
      <c r="F67" s="1186"/>
      <c r="G67" s="1186">
        <f t="shared" ref="G67:G69" si="98">F67*0.9071847</f>
        <v>0</v>
      </c>
      <c r="H67" s="887">
        <v>1981</v>
      </c>
      <c r="I67" s="1187">
        <v>1993</v>
      </c>
      <c r="J67" s="1188">
        <v>378.5</v>
      </c>
      <c r="K67" s="1188">
        <v>138</v>
      </c>
      <c r="L67" s="1189"/>
      <c r="M67" s="73"/>
      <c r="N67" s="1189"/>
      <c r="O67" s="73"/>
      <c r="P67" s="73"/>
      <c r="Q67" s="73"/>
      <c r="R67" s="1188">
        <f t="shared" ref="R67:R69" si="99">K67</f>
        <v>138</v>
      </c>
      <c r="S67" s="1190">
        <v>0.1</v>
      </c>
      <c r="T67" s="1188">
        <f t="shared" ref="T67:T69" si="100">R67*S67</f>
        <v>13.8</v>
      </c>
      <c r="U67" s="1188">
        <f t="shared" ref="U67:U69" si="101">R67*(1-S67)</f>
        <v>124.2</v>
      </c>
      <c r="V67" s="1188">
        <f t="shared" ref="V67:V69" si="102">U67</f>
        <v>124.2</v>
      </c>
      <c r="W67" s="1188">
        <f t="shared" ref="W67:W69" si="103">V67*$D$83</f>
        <v>3465.18</v>
      </c>
      <c r="X67" s="1191">
        <f t="shared" ref="X67:X69" si="104">J67+W67</f>
        <v>3843.68</v>
      </c>
      <c r="Y67" s="161"/>
      <c r="Z67" s="161"/>
    </row>
    <row r="68" spans="1:26" ht="11.25" customHeight="1" x14ac:dyDescent="0.2">
      <c r="A68" s="161"/>
      <c r="B68" s="385"/>
      <c r="C68" s="58" t="s">
        <v>1336</v>
      </c>
      <c r="D68" s="1183">
        <v>2.5499999999999998</v>
      </c>
      <c r="E68" s="1185">
        <f t="shared" ref="E68:E69" si="105">D68*1000000*0.9071847</f>
        <v>2313320.9849999999</v>
      </c>
      <c r="F68" s="1186">
        <v>150000</v>
      </c>
      <c r="G68" s="1186">
        <f t="shared" si="98"/>
        <v>136077.70499999999</v>
      </c>
      <c r="H68" s="887">
        <v>1982</v>
      </c>
      <c r="I68" s="1187">
        <v>2000</v>
      </c>
      <c r="J68" s="1188">
        <v>18980</v>
      </c>
      <c r="K68" s="1188">
        <v>6916</v>
      </c>
      <c r="L68" s="1189"/>
      <c r="M68" s="73"/>
      <c r="N68" s="1189"/>
      <c r="O68" s="73"/>
      <c r="P68" s="73"/>
      <c r="Q68" s="73"/>
      <c r="R68" s="1188">
        <f t="shared" si="99"/>
        <v>6916</v>
      </c>
      <c r="S68" s="1190">
        <v>0.1</v>
      </c>
      <c r="T68" s="1188">
        <f t="shared" si="100"/>
        <v>691.6</v>
      </c>
      <c r="U68" s="1188">
        <f t="shared" si="101"/>
        <v>6224.4000000000005</v>
      </c>
      <c r="V68" s="1188">
        <f t="shared" si="102"/>
        <v>6224.4000000000005</v>
      </c>
      <c r="W68" s="1188">
        <f t="shared" si="103"/>
        <v>173660.76</v>
      </c>
      <c r="X68" s="1191">
        <f t="shared" si="104"/>
        <v>192640.76</v>
      </c>
      <c r="Y68" s="161"/>
      <c r="Z68" s="161"/>
    </row>
    <row r="69" spans="1:26" ht="12.75" customHeight="1" x14ac:dyDescent="0.2">
      <c r="A69" s="161"/>
      <c r="B69" s="385"/>
      <c r="C69" s="58" t="s">
        <v>1339</v>
      </c>
      <c r="D69" s="1183">
        <v>20.273</v>
      </c>
      <c r="E69" s="1185">
        <f t="shared" si="105"/>
        <v>18391355.423099998</v>
      </c>
      <c r="F69" s="1186"/>
      <c r="G69" s="1186">
        <f t="shared" si="98"/>
        <v>0</v>
      </c>
      <c r="H69" s="887">
        <v>2000</v>
      </c>
      <c r="I69" s="1187">
        <v>2047</v>
      </c>
      <c r="J69" s="1188">
        <f>6634</f>
        <v>6634</v>
      </c>
      <c r="K69" s="1188">
        <f>2418</f>
        <v>2418</v>
      </c>
      <c r="L69" s="1189"/>
      <c r="M69" s="73"/>
      <c r="N69" s="1189"/>
      <c r="O69" s="73"/>
      <c r="P69" s="73"/>
      <c r="Q69" s="73"/>
      <c r="R69" s="1188">
        <f t="shared" si="99"/>
        <v>2418</v>
      </c>
      <c r="S69" s="1190">
        <v>0.1</v>
      </c>
      <c r="T69" s="1188">
        <f t="shared" si="100"/>
        <v>241.8</v>
      </c>
      <c r="U69" s="1188">
        <f t="shared" si="101"/>
        <v>2176.2000000000003</v>
      </c>
      <c r="V69" s="1188">
        <f t="shared" si="102"/>
        <v>2176.2000000000003</v>
      </c>
      <c r="W69" s="1188">
        <f t="shared" si="103"/>
        <v>60715.98</v>
      </c>
      <c r="X69" s="1191">
        <f t="shared" si="104"/>
        <v>67349.98000000001</v>
      </c>
      <c r="Y69" s="161"/>
      <c r="Z69" s="161"/>
    </row>
    <row r="70" spans="1:26" ht="11.25" customHeight="1" x14ac:dyDescent="0.2">
      <c r="A70" s="161"/>
      <c r="B70" s="385"/>
      <c r="C70" s="58"/>
      <c r="D70" s="1194"/>
      <c r="E70" s="133"/>
      <c r="F70" s="1186"/>
      <c r="G70" s="1186"/>
      <c r="H70" s="887"/>
      <c r="I70" s="1187"/>
      <c r="J70" s="73"/>
      <c r="K70" s="73"/>
      <c r="L70" s="1189"/>
      <c r="M70" s="73"/>
      <c r="N70" s="1189"/>
      <c r="O70" s="73"/>
      <c r="P70" s="73"/>
      <c r="Q70" s="73"/>
      <c r="R70" s="73"/>
      <c r="S70" s="1189"/>
      <c r="T70" s="73"/>
      <c r="U70" s="73"/>
      <c r="V70" s="73"/>
      <c r="W70" s="73"/>
      <c r="X70" s="1197"/>
      <c r="Y70" s="161"/>
      <c r="Z70" s="161"/>
    </row>
    <row r="71" spans="1:26" ht="11.25" customHeight="1" x14ac:dyDescent="0.2">
      <c r="A71" s="161"/>
      <c r="B71" s="1173" t="s">
        <v>1341</v>
      </c>
      <c r="C71" s="1174" t="s">
        <v>1342</v>
      </c>
      <c r="D71" s="1175">
        <v>7.2</v>
      </c>
      <c r="E71" s="1176">
        <f>D71*1000000*0.9071847</f>
        <v>6531729.8399999999</v>
      </c>
      <c r="F71" s="1177">
        <v>82000</v>
      </c>
      <c r="G71" s="1177">
        <f>F71*0.9071847</f>
        <v>74389.145399999994</v>
      </c>
      <c r="H71" s="1178">
        <v>1955</v>
      </c>
      <c r="I71" s="1179">
        <v>2031</v>
      </c>
      <c r="J71" s="1180">
        <f>9116</f>
        <v>9116</v>
      </c>
      <c r="K71" s="1180">
        <v>3322</v>
      </c>
      <c r="L71" s="1181">
        <v>0.378</v>
      </c>
      <c r="M71" s="1180">
        <f>K71*L71</f>
        <v>1255.7160000000001</v>
      </c>
      <c r="N71" s="1181">
        <v>0.98</v>
      </c>
      <c r="O71" s="1180">
        <f>M71*N71</f>
        <v>1230.60168</v>
      </c>
      <c r="P71" s="1180">
        <f>O71*2.75</f>
        <v>3384.1546199999998</v>
      </c>
      <c r="Q71" s="1180">
        <f>M71*(1-N71)</f>
        <v>25.114320000000024</v>
      </c>
      <c r="R71" s="1180">
        <f>K71</f>
        <v>3322</v>
      </c>
      <c r="S71" s="1181">
        <v>0.1</v>
      </c>
      <c r="T71" s="1180">
        <f>R71*S71</f>
        <v>332.20000000000005</v>
      </c>
      <c r="U71" s="1180">
        <f>R71*(1-S71)</f>
        <v>2989.8</v>
      </c>
      <c r="V71" s="1180">
        <f>U71</f>
        <v>2989.8</v>
      </c>
      <c r="W71" s="1180">
        <f>V71*$D$83</f>
        <v>83415.42</v>
      </c>
      <c r="X71" s="1182">
        <f>J71+W71</f>
        <v>92531.42</v>
      </c>
      <c r="Y71" s="161"/>
      <c r="Z71" s="161"/>
    </row>
    <row r="72" spans="1:26" ht="13.5" customHeight="1" x14ac:dyDescent="0.2">
      <c r="A72" s="161"/>
      <c r="B72" s="385"/>
      <c r="C72" s="58"/>
      <c r="D72" s="58"/>
      <c r="E72" s="133"/>
      <c r="F72" s="887"/>
      <c r="G72" s="887"/>
      <c r="H72" s="887"/>
      <c r="I72" s="887"/>
      <c r="J72" s="73"/>
      <c r="K72" s="73"/>
      <c r="L72" s="1189"/>
      <c r="M72" s="73"/>
      <c r="N72" s="1189"/>
      <c r="O72" s="73"/>
      <c r="P72" s="73"/>
      <c r="Q72" s="73"/>
      <c r="R72" s="73"/>
      <c r="S72" s="58"/>
      <c r="T72" s="73"/>
      <c r="U72" s="73"/>
      <c r="V72" s="73"/>
      <c r="W72" s="73"/>
      <c r="X72" s="1197"/>
      <c r="Y72" s="161"/>
      <c r="Z72" s="161"/>
    </row>
    <row r="73" spans="1:26" ht="12.75" customHeight="1" x14ac:dyDescent="0.2">
      <c r="A73" s="161"/>
      <c r="B73" s="1173" t="s">
        <v>1349</v>
      </c>
      <c r="C73" s="1307" t="s">
        <v>1350</v>
      </c>
      <c r="D73" s="1308">
        <v>4.8</v>
      </c>
      <c r="E73" s="1185">
        <f>D73*1000000*0.9071847</f>
        <v>4354486.5599999996</v>
      </c>
      <c r="F73" s="1186">
        <v>70000</v>
      </c>
      <c r="G73" s="1186">
        <f>F73*0.9071847</f>
        <v>63502.928999999996</v>
      </c>
      <c r="H73" s="887">
        <v>1990</v>
      </c>
      <c r="I73" s="1311">
        <v>2028</v>
      </c>
      <c r="J73" s="1312">
        <f>2368</f>
        <v>2368</v>
      </c>
      <c r="K73" s="1312">
        <f>862.9</f>
        <v>862.9</v>
      </c>
      <c r="L73" s="1314"/>
      <c r="M73" s="1316"/>
      <c r="N73" s="1314"/>
      <c r="O73" s="1316"/>
      <c r="P73" s="1316"/>
      <c r="Q73" s="1316"/>
      <c r="R73" s="1312">
        <f t="shared" ref="R73:R74" si="106">K73*(1-L73)</f>
        <v>862.9</v>
      </c>
      <c r="S73" s="1318">
        <v>0.1</v>
      </c>
      <c r="T73" s="1312">
        <f t="shared" ref="T73:T74" si="107">R73*S73</f>
        <v>86.29</v>
      </c>
      <c r="U73" s="1312">
        <f t="shared" ref="U73:U74" si="108">R73*(1-S73)</f>
        <v>776.61</v>
      </c>
      <c r="V73" s="1312">
        <f t="shared" ref="V73:V74" si="109">U73+Q73</f>
        <v>776.61</v>
      </c>
      <c r="W73" s="1312">
        <f t="shared" ref="W73:W74" si="110">V73*$D$83</f>
        <v>21667.418999999998</v>
      </c>
      <c r="X73" s="1320">
        <f t="shared" ref="X73:X74" si="111">J73+P73+W73</f>
        <v>24035.418999999998</v>
      </c>
      <c r="Y73" s="161"/>
      <c r="Z73" s="161"/>
    </row>
    <row r="74" spans="1:26" ht="11.25" customHeight="1" x14ac:dyDescent="0.2">
      <c r="A74" s="161"/>
      <c r="B74" s="385"/>
      <c r="C74" s="1174" t="s">
        <v>1354</v>
      </c>
      <c r="D74" s="1174"/>
      <c r="E74" s="1268"/>
      <c r="F74" s="1178"/>
      <c r="G74" s="1178"/>
      <c r="H74" s="1178"/>
      <c r="I74" s="1178"/>
      <c r="J74" s="1180">
        <v>26360</v>
      </c>
      <c r="K74" s="1180">
        <v>9608</v>
      </c>
      <c r="L74" s="1181">
        <v>0.89</v>
      </c>
      <c r="M74" s="1180">
        <f>K74*L74</f>
        <v>8551.1200000000008</v>
      </c>
      <c r="N74" s="1181">
        <v>0.98</v>
      </c>
      <c r="O74" s="1180">
        <f>M74*N74</f>
        <v>8380.097600000001</v>
      </c>
      <c r="P74" s="1180">
        <f>O74*2.75</f>
        <v>23045.268400000001</v>
      </c>
      <c r="Q74" s="1180">
        <f>M74*(1-N74)</f>
        <v>171.02240000000018</v>
      </c>
      <c r="R74" s="1180">
        <f t="shared" si="106"/>
        <v>1056.8799999999999</v>
      </c>
      <c r="S74" s="1181">
        <v>0.1</v>
      </c>
      <c r="T74" s="1180">
        <f t="shared" si="107"/>
        <v>105.68799999999999</v>
      </c>
      <c r="U74" s="1180">
        <f t="shared" si="108"/>
        <v>951.19199999999989</v>
      </c>
      <c r="V74" s="1180">
        <f t="shared" si="109"/>
        <v>1122.2144000000001</v>
      </c>
      <c r="W74" s="1180">
        <f t="shared" si="110"/>
        <v>31309.781760000002</v>
      </c>
      <c r="X74" s="1182">
        <f t="shared" si="111"/>
        <v>80715.050159999999</v>
      </c>
      <c r="Y74" s="161"/>
      <c r="Z74" s="161"/>
    </row>
    <row r="75" spans="1:26" ht="11.25" customHeight="1" x14ac:dyDescent="0.2">
      <c r="A75" s="161"/>
      <c r="B75" s="385"/>
      <c r="C75" s="58"/>
      <c r="D75" s="58"/>
      <c r="E75" s="133"/>
      <c r="F75" s="887"/>
      <c r="G75" s="887"/>
      <c r="H75" s="887"/>
      <c r="I75" s="887"/>
      <c r="J75" s="73"/>
      <c r="K75" s="73"/>
      <c r="L75" s="58"/>
      <c r="M75" s="73"/>
      <c r="N75" s="58"/>
      <c r="O75" s="73"/>
      <c r="P75" s="73"/>
      <c r="Q75" s="73"/>
      <c r="R75" s="73"/>
      <c r="S75" s="58"/>
      <c r="T75" s="73"/>
      <c r="U75" s="73"/>
      <c r="V75" s="73"/>
      <c r="W75" s="73"/>
      <c r="X75" s="1197"/>
      <c r="Y75" s="161"/>
      <c r="Z75" s="161"/>
    </row>
    <row r="76" spans="1:26" ht="15.75" customHeight="1" x14ac:dyDescent="0.2">
      <c r="A76" s="161"/>
      <c r="B76" s="1382"/>
      <c r="C76" s="1383"/>
      <c r="D76" s="1383"/>
      <c r="E76" s="1385"/>
      <c r="F76" s="1383"/>
      <c r="G76" s="1386"/>
      <c r="H76" s="1386"/>
      <c r="I76" s="1386"/>
      <c r="J76" s="1388">
        <f t="shared" ref="J76:K76" si="112">SUM(J10:J75)</f>
        <v>405180.9</v>
      </c>
      <c r="K76" s="1388">
        <f t="shared" si="112"/>
        <v>150061.04</v>
      </c>
      <c r="L76" s="1383"/>
      <c r="M76" s="1389"/>
      <c r="N76" s="1389"/>
      <c r="O76" s="1388">
        <f t="shared" ref="O76:Q76" si="113">SUM(O10:O74)</f>
        <v>67035.268462558015</v>
      </c>
      <c r="P76" s="1388">
        <f t="shared" si="113"/>
        <v>184346.98827203448</v>
      </c>
      <c r="Q76" s="1388">
        <f t="shared" si="113"/>
        <v>1676.7966174420008</v>
      </c>
      <c r="R76" s="1389"/>
      <c r="S76" s="1383"/>
      <c r="T76" s="1388">
        <f>SUM(T10:T75)</f>
        <v>8281.3676319999977</v>
      </c>
      <c r="U76" s="1389"/>
      <c r="V76" s="1389"/>
      <c r="W76" s="1389"/>
      <c r="X76" s="1390"/>
      <c r="Y76" s="161"/>
      <c r="Z76" s="161"/>
    </row>
    <row r="77" spans="1:26" ht="15.75" customHeight="1" x14ac:dyDescent="0.2">
      <c r="A77" s="161"/>
      <c r="B77" s="161"/>
      <c r="C77" s="161"/>
      <c r="D77" s="161"/>
      <c r="E77" s="161"/>
      <c r="F77" s="161"/>
      <c r="G77" s="161"/>
      <c r="H77" s="161"/>
      <c r="I77" s="161"/>
      <c r="J77" s="756"/>
      <c r="K77" s="161"/>
      <c r="L77" s="161"/>
      <c r="M77" s="779"/>
      <c r="N77" s="161"/>
      <c r="O77" s="811"/>
      <c r="P77" s="161"/>
      <c r="Q77" s="161"/>
      <c r="R77" s="161"/>
      <c r="S77" s="161"/>
      <c r="T77" s="161"/>
      <c r="U77" s="161"/>
      <c r="V77" s="756"/>
      <c r="W77" s="161"/>
      <c r="X77" s="161"/>
      <c r="Y77" s="161"/>
      <c r="Z77" s="161"/>
    </row>
    <row r="78" spans="1:26" ht="14.25" customHeight="1" x14ac:dyDescent="0.2">
      <c r="A78" s="161"/>
      <c r="B78" s="161"/>
      <c r="C78" s="161"/>
      <c r="D78" s="161"/>
      <c r="E78" s="161"/>
      <c r="F78" s="161"/>
      <c r="G78" s="161"/>
      <c r="H78" s="161"/>
      <c r="I78" s="161"/>
      <c r="J78" s="161"/>
      <c r="K78" s="1393"/>
      <c r="L78" s="161"/>
      <c r="M78" s="779"/>
      <c r="N78" s="779"/>
      <c r="O78" s="811"/>
      <c r="P78" s="161"/>
      <c r="Q78" s="161"/>
      <c r="R78" s="161"/>
      <c r="S78" s="161"/>
      <c r="T78" s="161"/>
      <c r="U78" s="161"/>
      <c r="V78" s="1394"/>
      <c r="W78" s="161"/>
      <c r="X78" s="1366"/>
      <c r="Y78" s="161"/>
      <c r="Z78" s="161"/>
    </row>
    <row r="79" spans="1:26" ht="14.25" customHeight="1" x14ac:dyDescent="0.2">
      <c r="A79" s="161"/>
      <c r="B79" s="161"/>
      <c r="C79" s="161"/>
      <c r="D79" s="161"/>
      <c r="E79" s="161"/>
      <c r="F79" s="161"/>
      <c r="G79" s="161"/>
      <c r="H79" s="161"/>
      <c r="I79" s="161"/>
      <c r="J79" s="1395"/>
      <c r="K79" s="1394"/>
      <c r="L79" s="161"/>
      <c r="M79" s="779"/>
      <c r="N79" s="161"/>
      <c r="O79" s="811"/>
      <c r="P79" s="161"/>
      <c r="Q79" s="161"/>
      <c r="R79" s="161"/>
      <c r="S79" s="161"/>
      <c r="T79" s="161"/>
      <c r="U79" s="161"/>
      <c r="V79" s="161"/>
      <c r="W79" s="161"/>
      <c r="X79" s="161"/>
      <c r="Y79" s="161"/>
      <c r="Z79" s="161"/>
    </row>
    <row r="80" spans="1:26" ht="15.75" customHeight="1" x14ac:dyDescent="0.3">
      <c r="A80" s="161"/>
      <c r="B80" s="161"/>
      <c r="C80" s="1769" t="s">
        <v>1</v>
      </c>
      <c r="D80" s="1759"/>
      <c r="E80" s="161"/>
      <c r="F80" s="161"/>
      <c r="G80" s="1841" t="s">
        <v>1371</v>
      </c>
      <c r="H80" s="1840"/>
      <c r="I80" s="1840"/>
      <c r="J80" s="1759"/>
      <c r="K80" s="1400">
        <f>K76</f>
        <v>150061.04</v>
      </c>
      <c r="L80" s="25"/>
      <c r="M80" s="1842" t="s">
        <v>1379</v>
      </c>
      <c r="N80" s="1759"/>
      <c r="O80" s="1402">
        <f>O10+O15+O17+O22+O23+O28+O31+O33+O42+O53+O59+O71+O74</f>
        <v>47803.169040558001</v>
      </c>
      <c r="P80" s="25"/>
      <c r="Q80" s="1843" t="s">
        <v>1382</v>
      </c>
      <c r="R80" s="1840"/>
      <c r="S80" s="1840"/>
      <c r="T80" s="1840"/>
      <c r="U80" s="1759"/>
      <c r="V80" s="1405">
        <f>O50+O51+O57+O58</f>
        <v>19232.099421999999</v>
      </c>
      <c r="W80" s="161"/>
      <c r="X80" s="756"/>
      <c r="Y80" s="161"/>
      <c r="Z80" s="161"/>
    </row>
    <row r="81" spans="1:26" ht="15.75" customHeight="1" x14ac:dyDescent="0.3">
      <c r="A81" s="161"/>
      <c r="B81" s="161"/>
      <c r="C81" s="235"/>
      <c r="D81" s="235"/>
      <c r="E81" s="161"/>
      <c r="F81" s="161"/>
      <c r="G81" s="1844" t="s">
        <v>1383</v>
      </c>
      <c r="H81" s="1840"/>
      <c r="I81" s="1840"/>
      <c r="J81" s="1759"/>
      <c r="K81" s="1409">
        <f>$D$83</f>
        <v>27.9</v>
      </c>
      <c r="L81" s="25"/>
      <c r="M81" s="1845" t="s">
        <v>1384</v>
      </c>
      <c r="N81" s="1759"/>
      <c r="O81" s="1409">
        <f>$D$83</f>
        <v>27.9</v>
      </c>
      <c r="P81" s="25"/>
      <c r="Q81" s="1844" t="s">
        <v>1385</v>
      </c>
      <c r="R81" s="1840"/>
      <c r="S81" s="1840"/>
      <c r="T81" s="1840"/>
      <c r="U81" s="1759"/>
      <c r="V81" s="1409">
        <f>$D$83</f>
        <v>27.9</v>
      </c>
      <c r="W81" s="161"/>
      <c r="X81" s="161"/>
      <c r="Y81" s="161"/>
      <c r="Z81" s="161"/>
    </row>
    <row r="82" spans="1:26" ht="15.75" customHeight="1" x14ac:dyDescent="0.25">
      <c r="A82" s="161"/>
      <c r="B82" s="161"/>
      <c r="C82" s="240" t="s">
        <v>433</v>
      </c>
      <c r="D82" s="241">
        <f>Summary!$E4</f>
        <v>1</v>
      </c>
      <c r="E82" s="161"/>
      <c r="F82" s="161"/>
      <c r="G82" s="1846" t="s">
        <v>1386</v>
      </c>
      <c r="H82" s="1840"/>
      <c r="I82" s="1840"/>
      <c r="J82" s="1759"/>
      <c r="K82" s="1416">
        <f>K80*K81*0.9072</f>
        <v>3798176.9761151997</v>
      </c>
      <c r="L82" s="25"/>
      <c r="M82" s="1418" t="s">
        <v>1387</v>
      </c>
      <c r="N82" s="1419"/>
      <c r="O82" s="1422">
        <f>(O80*O81)*0.907184</f>
        <v>1209918.935870619</v>
      </c>
      <c r="P82" s="25"/>
      <c r="Q82" s="1853" t="s">
        <v>1388</v>
      </c>
      <c r="R82" s="1840"/>
      <c r="S82" s="1840"/>
      <c r="T82" s="1840"/>
      <c r="U82" s="1759"/>
      <c r="V82" s="1424">
        <f>(V80*V81)*0.907184</f>
        <v>486772.77540912939</v>
      </c>
      <c r="W82" s="161"/>
      <c r="X82" s="161"/>
      <c r="Y82" s="161"/>
      <c r="Z82" s="161"/>
    </row>
    <row r="83" spans="1:26" ht="15.75" customHeight="1" x14ac:dyDescent="0.25">
      <c r="A83" s="161"/>
      <c r="B83" s="161"/>
      <c r="C83" s="240" t="s">
        <v>438</v>
      </c>
      <c r="D83" s="241">
        <f>Summary!$E5</f>
        <v>27.9</v>
      </c>
      <c r="E83" s="161"/>
      <c r="F83" s="161"/>
      <c r="G83" s="1848" t="s">
        <v>1390</v>
      </c>
      <c r="H83" s="1840"/>
      <c r="I83" s="1840"/>
      <c r="J83" s="1759"/>
      <c r="K83" s="1426">
        <f>K82*7%</f>
        <v>265872.388328064</v>
      </c>
      <c r="L83" s="25"/>
      <c r="M83" s="1849"/>
      <c r="N83" s="1759"/>
      <c r="O83" s="379"/>
      <c r="P83" s="25"/>
      <c r="Q83" s="1841"/>
      <c r="R83" s="1840"/>
      <c r="S83" s="1840"/>
      <c r="T83" s="1840"/>
      <c r="U83" s="1759"/>
      <c r="V83" s="1427"/>
      <c r="W83" s="161"/>
      <c r="X83" s="161"/>
      <c r="Y83" s="161"/>
      <c r="Z83" s="161"/>
    </row>
    <row r="84" spans="1:26" ht="15.75" customHeight="1" x14ac:dyDescent="0.2">
      <c r="A84" s="161"/>
      <c r="B84" s="161"/>
      <c r="C84" s="240" t="s">
        <v>444</v>
      </c>
      <c r="D84" s="241">
        <f>Summary!$E6</f>
        <v>273</v>
      </c>
      <c r="E84" s="161"/>
      <c r="F84" s="161"/>
      <c r="G84" s="1841"/>
      <c r="H84" s="1840"/>
      <c r="I84" s="1840"/>
      <c r="J84" s="1759"/>
      <c r="K84" s="379"/>
      <c r="L84" s="25"/>
      <c r="M84" s="1841"/>
      <c r="N84" s="1759"/>
      <c r="O84" s="379"/>
      <c r="P84" s="25"/>
      <c r="Q84" s="1841"/>
      <c r="R84" s="1840"/>
      <c r="S84" s="1840"/>
      <c r="T84" s="1840"/>
      <c r="U84" s="1759"/>
      <c r="V84" s="379"/>
      <c r="W84" s="161"/>
      <c r="X84" s="161"/>
      <c r="Y84" s="161"/>
      <c r="Z84" s="161"/>
    </row>
    <row r="85" spans="1:26" ht="15.75" customHeight="1" x14ac:dyDescent="0.25">
      <c r="A85" s="161"/>
      <c r="B85" s="161"/>
      <c r="C85" s="240" t="s">
        <v>447</v>
      </c>
      <c r="D85" s="247">
        <f>Summary!$E7</f>
        <v>24300</v>
      </c>
      <c r="E85" s="161"/>
      <c r="F85" s="161"/>
      <c r="G85" s="1850" t="s">
        <v>1392</v>
      </c>
      <c r="H85" s="1840"/>
      <c r="I85" s="1840"/>
      <c r="J85" s="1759"/>
      <c r="K85" s="1429">
        <f>(K82+K83)</f>
        <v>4064049.364443264</v>
      </c>
      <c r="L85" s="25"/>
      <c r="M85" s="1851" t="s">
        <v>1394</v>
      </c>
      <c r="N85" s="1759"/>
      <c r="O85" s="1430">
        <f>O82+V82</f>
        <v>1696691.7112797485</v>
      </c>
      <c r="P85" s="25"/>
      <c r="Q85" s="1847" t="s">
        <v>1396</v>
      </c>
      <c r="R85" s="1840"/>
      <c r="S85" s="1840"/>
      <c r="T85" s="1840"/>
      <c r="U85" s="1759"/>
      <c r="V85" s="1409">
        <f>V82*(12/44)</f>
        <v>132756.2114752171</v>
      </c>
      <c r="W85" s="161"/>
      <c r="X85" s="161"/>
      <c r="Y85" s="161"/>
      <c r="Z85" s="161"/>
    </row>
    <row r="86" spans="1:26" ht="15.75" customHeight="1" x14ac:dyDescent="0.2">
      <c r="A86" s="161"/>
      <c r="B86" s="161"/>
      <c r="C86" s="240"/>
      <c r="D86" s="247"/>
      <c r="E86" s="161"/>
      <c r="F86" s="161"/>
      <c r="G86" s="1841"/>
      <c r="H86" s="1840"/>
      <c r="I86" s="1840"/>
      <c r="J86" s="1759"/>
      <c r="K86" s="378"/>
      <c r="L86" s="25"/>
      <c r="M86" s="1841"/>
      <c r="N86" s="1759"/>
      <c r="O86" s="378"/>
      <c r="P86" s="25"/>
      <c r="Q86" s="1841"/>
      <c r="R86" s="1840"/>
      <c r="S86" s="1840"/>
      <c r="T86" s="1840"/>
      <c r="U86" s="1759"/>
      <c r="V86" s="378"/>
      <c r="W86" s="161"/>
      <c r="X86" s="161"/>
      <c r="Y86" s="161"/>
      <c r="Z86" s="161"/>
    </row>
    <row r="87" spans="1:26" ht="15.75" customHeight="1" x14ac:dyDescent="0.25">
      <c r="A87" s="161"/>
      <c r="B87" s="161"/>
      <c r="C87" s="161"/>
      <c r="D87" s="161"/>
      <c r="E87" s="161"/>
      <c r="F87" s="161"/>
      <c r="G87" s="1847" t="s">
        <v>1399</v>
      </c>
      <c r="H87" s="1840"/>
      <c r="I87" s="1840"/>
      <c r="J87" s="1759"/>
      <c r="K87" s="1409">
        <f>K85*(12/44)</f>
        <v>1108377.0993936174</v>
      </c>
      <c r="L87" s="25"/>
      <c r="M87" s="1852" t="s">
        <v>1403</v>
      </c>
      <c r="N87" s="1759"/>
      <c r="O87" s="1409">
        <f>O85*(12/44)</f>
        <v>462734.103076295</v>
      </c>
      <c r="P87" s="25"/>
      <c r="Q87" s="1854" t="s">
        <v>1404</v>
      </c>
      <c r="R87" s="1840"/>
      <c r="S87" s="1840"/>
      <c r="T87" s="1840"/>
      <c r="U87" s="1759"/>
      <c r="V87" s="1435">
        <f>T76</f>
        <v>8281.3676319999977</v>
      </c>
      <c r="W87" s="161"/>
      <c r="X87" s="161"/>
      <c r="Y87" s="161"/>
      <c r="Z87" s="161"/>
    </row>
    <row r="88" spans="1:26" ht="15.75" customHeight="1" x14ac:dyDescent="0.3">
      <c r="A88" s="161"/>
      <c r="B88" s="161"/>
      <c r="C88" s="161"/>
      <c r="D88" s="161"/>
      <c r="E88" s="161"/>
      <c r="F88" s="161"/>
      <c r="G88" s="25"/>
      <c r="H88" s="25"/>
      <c r="I88" s="25"/>
      <c r="J88" s="25"/>
      <c r="K88" s="25"/>
      <c r="L88" s="25"/>
      <c r="M88" s="25"/>
      <c r="N88" s="25"/>
      <c r="O88" s="25"/>
      <c r="P88" s="25"/>
      <c r="Q88" s="1844" t="s">
        <v>1406</v>
      </c>
      <c r="R88" s="1840"/>
      <c r="S88" s="1840"/>
      <c r="T88" s="1840"/>
      <c r="U88" s="1759"/>
      <c r="V88" s="1437">
        <f>$D$83</f>
        <v>27.9</v>
      </c>
      <c r="W88" s="161"/>
      <c r="X88" s="161"/>
      <c r="Y88" s="161"/>
      <c r="Z88" s="161"/>
    </row>
    <row r="89" spans="1:26" ht="15.75" customHeight="1" x14ac:dyDescent="0.25">
      <c r="A89" s="161"/>
      <c r="B89" s="161"/>
      <c r="C89" s="161"/>
      <c r="D89" s="161"/>
      <c r="E89" s="161"/>
      <c r="F89" s="161"/>
      <c r="G89" s="25"/>
      <c r="H89" s="25"/>
      <c r="I89" s="25"/>
      <c r="J89" s="25"/>
      <c r="K89" s="25"/>
      <c r="L89" s="25"/>
      <c r="M89" s="25"/>
      <c r="N89" s="25"/>
      <c r="O89" s="25"/>
      <c r="P89" s="25"/>
      <c r="Q89" s="1855" t="s">
        <v>1408</v>
      </c>
      <c r="R89" s="1840"/>
      <c r="S89" s="1840"/>
      <c r="T89" s="1840"/>
      <c r="U89" s="1759"/>
      <c r="V89" s="1438">
        <f>(V87*V88)*0.907184</f>
        <v>209605.00556692516</v>
      </c>
      <c r="W89" s="161"/>
      <c r="X89" s="161"/>
      <c r="Y89" s="161"/>
      <c r="Z89" s="161"/>
    </row>
    <row r="90" spans="1:26" ht="15.75" customHeight="1" x14ac:dyDescent="0.2">
      <c r="A90" s="161"/>
      <c r="B90" s="161"/>
      <c r="C90" s="161"/>
      <c r="D90" s="161"/>
      <c r="E90" s="161"/>
      <c r="F90" s="161"/>
      <c r="G90" s="25"/>
      <c r="H90" s="25"/>
      <c r="I90" s="25"/>
      <c r="J90" s="25"/>
      <c r="K90" s="25"/>
      <c r="L90" s="25"/>
      <c r="M90" s="25"/>
      <c r="N90" s="25"/>
      <c r="O90" s="25"/>
      <c r="P90" s="25"/>
      <c r="Q90" s="1841"/>
      <c r="R90" s="1840"/>
      <c r="S90" s="1840"/>
      <c r="T90" s="1840"/>
      <c r="U90" s="1759"/>
      <c r="V90" s="378"/>
      <c r="W90" s="161"/>
      <c r="X90" s="161"/>
      <c r="Y90" s="161"/>
      <c r="Z90" s="161"/>
    </row>
    <row r="91" spans="1:26" ht="15.75" customHeight="1" x14ac:dyDescent="0.2">
      <c r="A91" s="161"/>
      <c r="B91" s="161"/>
      <c r="C91" s="161"/>
      <c r="D91" s="161"/>
      <c r="E91" s="161"/>
      <c r="F91" s="161"/>
      <c r="G91" s="25"/>
      <c r="H91" s="25"/>
      <c r="I91" s="25"/>
      <c r="J91" s="25"/>
      <c r="K91" s="25"/>
      <c r="L91" s="25"/>
      <c r="M91" s="25"/>
      <c r="N91" s="25"/>
      <c r="O91" s="25"/>
      <c r="P91" s="25"/>
      <c r="Q91" s="1847" t="s">
        <v>1410</v>
      </c>
      <c r="R91" s="1840"/>
      <c r="S91" s="1840"/>
      <c r="T91" s="1840"/>
      <c r="U91" s="1759"/>
      <c r="V91" s="1440">
        <f>V89*(12/44)</f>
        <v>57165.001518252313</v>
      </c>
      <c r="W91" s="161"/>
      <c r="X91" s="161"/>
      <c r="Y91" s="161"/>
      <c r="Z91" s="161"/>
    </row>
    <row r="92" spans="1:26" ht="15.75" customHeight="1" x14ac:dyDescent="0.2">
      <c r="A92" s="161"/>
      <c r="B92" s="161"/>
      <c r="C92" s="161"/>
      <c r="D92" s="161"/>
      <c r="E92" s="161"/>
      <c r="F92" s="161"/>
      <c r="G92" s="25"/>
      <c r="H92" s="25"/>
      <c r="I92" s="25"/>
      <c r="J92" s="25"/>
      <c r="K92" s="25"/>
      <c r="L92" s="25"/>
      <c r="M92" s="25"/>
      <c r="N92" s="25"/>
      <c r="O92" s="25"/>
      <c r="P92" s="25"/>
      <c r="Q92" s="1841"/>
      <c r="R92" s="1840"/>
      <c r="S92" s="1840"/>
      <c r="T92" s="1840"/>
      <c r="U92" s="1759"/>
      <c r="V92" s="378"/>
      <c r="W92" s="161"/>
      <c r="X92" s="161"/>
      <c r="Y92" s="161"/>
      <c r="Z92" s="161"/>
    </row>
    <row r="93" spans="1:26" ht="15.75" customHeight="1" x14ac:dyDescent="0.25">
      <c r="A93" s="161"/>
      <c r="B93" s="161"/>
      <c r="C93" s="161"/>
      <c r="D93" s="161"/>
      <c r="E93" s="161"/>
      <c r="F93" s="161"/>
      <c r="G93" s="25"/>
      <c r="H93" s="25"/>
      <c r="I93" s="25"/>
      <c r="J93" s="25"/>
      <c r="K93" s="25"/>
      <c r="L93" s="25"/>
      <c r="M93" s="25"/>
      <c r="N93" s="25"/>
      <c r="O93" s="25"/>
      <c r="P93" s="25"/>
      <c r="Q93" s="1856" t="s">
        <v>1411</v>
      </c>
      <c r="R93" s="1840"/>
      <c r="S93" s="1840"/>
      <c r="T93" s="1840"/>
      <c r="U93" s="1759"/>
      <c r="V93" s="1441">
        <f>V89*7%</f>
        <v>14672.350389684763</v>
      </c>
      <c r="W93" s="756"/>
      <c r="X93" s="161"/>
      <c r="Y93" s="161"/>
      <c r="Z93" s="161"/>
    </row>
    <row r="94" spans="1:26" ht="15.75" customHeight="1" x14ac:dyDescent="0.2">
      <c r="A94" s="161"/>
      <c r="B94" s="161"/>
      <c r="C94" s="161"/>
      <c r="D94" s="161"/>
      <c r="E94" s="161"/>
      <c r="F94" s="161"/>
      <c r="G94" s="25"/>
      <c r="H94" s="25"/>
      <c r="I94" s="25"/>
      <c r="J94" s="25"/>
      <c r="K94" s="25"/>
      <c r="L94" s="25"/>
      <c r="M94" s="25"/>
      <c r="N94" s="25"/>
      <c r="O94" s="25"/>
      <c r="P94" s="25"/>
      <c r="Q94" s="1857"/>
      <c r="R94" s="1840"/>
      <c r="S94" s="1840"/>
      <c r="T94" s="1840"/>
      <c r="U94" s="1759"/>
      <c r="V94" s="379"/>
      <c r="W94" s="756"/>
      <c r="X94" s="161"/>
      <c r="Y94" s="161"/>
      <c r="Z94" s="161"/>
    </row>
    <row r="95" spans="1:26" ht="15.75" customHeight="1" x14ac:dyDescent="0.2">
      <c r="A95" s="161"/>
      <c r="B95" s="161"/>
      <c r="C95" s="161"/>
      <c r="D95" s="161"/>
      <c r="E95" s="161"/>
      <c r="F95" s="161"/>
      <c r="G95" s="25"/>
      <c r="H95" s="25"/>
      <c r="I95" s="25"/>
      <c r="J95" s="25"/>
      <c r="K95" s="25"/>
      <c r="L95" s="25"/>
      <c r="M95" s="25"/>
      <c r="N95" s="25"/>
      <c r="O95" s="25"/>
      <c r="P95" s="25"/>
      <c r="Q95" s="1847" t="s">
        <v>1415</v>
      </c>
      <c r="R95" s="1840"/>
      <c r="S95" s="1840"/>
      <c r="T95" s="1840"/>
      <c r="U95" s="1759"/>
      <c r="V95" s="1440">
        <f>V93*(12/44)</f>
        <v>4001.5501062776625</v>
      </c>
      <c r="W95" s="756"/>
      <c r="X95" s="161"/>
      <c r="Y95" s="161"/>
      <c r="Z95" s="161"/>
    </row>
    <row r="96" spans="1:26" ht="15.75" customHeight="1" x14ac:dyDescent="0.2">
      <c r="A96" s="161"/>
      <c r="B96" s="161"/>
      <c r="C96" s="161"/>
      <c r="D96" s="161"/>
      <c r="E96" s="161"/>
      <c r="F96" s="161"/>
      <c r="G96" s="25"/>
      <c r="H96" s="25"/>
      <c r="I96" s="25"/>
      <c r="J96" s="25"/>
      <c r="K96" s="25"/>
      <c r="L96" s="25"/>
      <c r="M96" s="25"/>
      <c r="N96" s="25"/>
      <c r="O96" s="25"/>
      <c r="P96" s="25"/>
      <c r="Q96" s="1859"/>
      <c r="R96" s="1840"/>
      <c r="S96" s="1840"/>
      <c r="T96" s="1840"/>
      <c r="U96" s="1759"/>
      <c r="V96" s="379"/>
      <c r="W96" s="756"/>
      <c r="X96" s="161"/>
      <c r="Y96" s="161"/>
      <c r="Z96" s="161"/>
    </row>
    <row r="97" spans="1:26" ht="15.75" customHeight="1" x14ac:dyDescent="0.25">
      <c r="A97" s="161"/>
      <c r="B97" s="161"/>
      <c r="C97" s="161"/>
      <c r="D97" s="161"/>
      <c r="E97" s="161"/>
      <c r="F97" s="161"/>
      <c r="G97" s="25"/>
      <c r="H97" s="25"/>
      <c r="I97" s="25"/>
      <c r="J97" s="25"/>
      <c r="K97" s="25"/>
      <c r="L97" s="25"/>
      <c r="M97" s="25"/>
      <c r="N97" s="25"/>
      <c r="O97" s="25"/>
      <c r="P97" s="25"/>
      <c r="Q97" s="1860" t="s">
        <v>1421</v>
      </c>
      <c r="R97" s="1840"/>
      <c r="S97" s="1840"/>
      <c r="T97" s="1840"/>
      <c r="U97" s="1759"/>
      <c r="V97" s="1443">
        <f>(K85-O85-V89-V93)</f>
        <v>2143080.2972069057</v>
      </c>
      <c r="W97" s="1444"/>
      <c r="X97" s="161"/>
      <c r="Y97" s="161"/>
      <c r="Z97" s="161"/>
    </row>
    <row r="98" spans="1:26" ht="15.75" customHeight="1" x14ac:dyDescent="0.2">
      <c r="A98" s="161"/>
      <c r="B98" s="161"/>
      <c r="C98" s="161"/>
      <c r="D98" s="161"/>
      <c r="E98" s="161"/>
      <c r="F98" s="161"/>
      <c r="G98" s="25"/>
      <c r="H98" s="25"/>
      <c r="I98" s="25"/>
      <c r="J98" s="25"/>
      <c r="K98" s="25"/>
      <c r="L98" s="25"/>
      <c r="M98" s="25"/>
      <c r="N98" s="25"/>
      <c r="O98" s="25"/>
      <c r="P98" s="25"/>
      <c r="Q98" s="1859"/>
      <c r="R98" s="1840"/>
      <c r="S98" s="1840"/>
      <c r="T98" s="1840"/>
      <c r="U98" s="1759"/>
      <c r="V98" s="379"/>
      <c r="W98" s="756"/>
      <c r="X98" s="161"/>
      <c r="Y98" s="161"/>
      <c r="Z98" s="161"/>
    </row>
    <row r="99" spans="1:26" ht="15.75" customHeight="1" x14ac:dyDescent="0.25">
      <c r="A99" s="161"/>
      <c r="B99" s="161"/>
      <c r="C99" s="161"/>
      <c r="D99" s="161"/>
      <c r="E99" s="161"/>
      <c r="F99" s="161"/>
      <c r="G99" s="25"/>
      <c r="H99" s="25"/>
      <c r="I99" s="25"/>
      <c r="J99" s="25"/>
      <c r="K99" s="25"/>
      <c r="L99" s="25"/>
      <c r="M99" s="25"/>
      <c r="N99" s="25"/>
      <c r="O99" s="25"/>
      <c r="P99" s="25"/>
      <c r="Q99" s="1859" t="s">
        <v>1426</v>
      </c>
      <c r="R99" s="1840"/>
      <c r="S99" s="1840"/>
      <c r="T99" s="1840"/>
      <c r="U99" s="1759"/>
      <c r="V99" s="1445">
        <f>P76*0.907184</f>
        <v>167236.63820857732</v>
      </c>
      <c r="W99" s="756"/>
      <c r="X99" s="161"/>
      <c r="Y99" s="161"/>
      <c r="Z99" s="161"/>
    </row>
    <row r="100" spans="1:26" ht="15.75" customHeight="1" x14ac:dyDescent="0.2">
      <c r="A100" s="161"/>
      <c r="B100" s="161"/>
      <c r="C100" s="161"/>
      <c r="D100" s="161"/>
      <c r="E100" s="161"/>
      <c r="F100" s="161"/>
      <c r="G100" s="25"/>
      <c r="H100" s="25"/>
      <c r="I100" s="25"/>
      <c r="J100" s="25"/>
      <c r="K100" s="25"/>
      <c r="L100" s="25"/>
      <c r="M100" s="25"/>
      <c r="N100" s="25"/>
      <c r="O100" s="25"/>
      <c r="P100" s="25"/>
      <c r="Q100" s="1861"/>
      <c r="R100" s="1840"/>
      <c r="S100" s="1840"/>
      <c r="T100" s="1840"/>
      <c r="U100" s="1759"/>
      <c r="V100" s="379"/>
      <c r="W100" s="756"/>
      <c r="X100" s="161"/>
      <c r="Y100" s="161"/>
      <c r="Z100" s="161"/>
    </row>
    <row r="101" spans="1:26" ht="15.75" customHeight="1" x14ac:dyDescent="0.25">
      <c r="A101" s="161"/>
      <c r="B101" s="161"/>
      <c r="C101" s="161"/>
      <c r="D101" s="161"/>
      <c r="E101" s="161"/>
      <c r="F101" s="161"/>
      <c r="G101" s="25"/>
      <c r="H101" s="25"/>
      <c r="I101" s="25"/>
      <c r="J101" s="25"/>
      <c r="K101" s="25"/>
      <c r="L101" s="25"/>
      <c r="M101" s="25"/>
      <c r="N101" s="25"/>
      <c r="O101" s="25"/>
      <c r="P101" s="25"/>
      <c r="Q101" s="1862" t="s">
        <v>1432</v>
      </c>
      <c r="R101" s="1840"/>
      <c r="S101" s="1840"/>
      <c r="T101" s="1840"/>
      <c r="U101" s="1759"/>
      <c r="V101" s="1448">
        <f>(V99/1000000)+((J76*0.907184)/1000000)</f>
        <v>0.53481026779417729</v>
      </c>
      <c r="W101" s="756"/>
      <c r="X101" s="161"/>
      <c r="Y101" s="161"/>
      <c r="Z101" s="161"/>
    </row>
    <row r="102" spans="1:26" ht="15.75" customHeight="1" x14ac:dyDescent="0.2">
      <c r="A102" s="161"/>
      <c r="B102" s="161"/>
      <c r="C102" s="161"/>
      <c r="D102" s="161"/>
      <c r="E102" s="161"/>
      <c r="F102" s="161"/>
      <c r="G102" s="25"/>
      <c r="H102" s="25"/>
      <c r="I102" s="25"/>
      <c r="J102" s="25"/>
      <c r="K102" s="25"/>
      <c r="L102" s="25"/>
      <c r="M102" s="25"/>
      <c r="N102" s="25"/>
      <c r="O102" s="25"/>
      <c r="P102" s="25"/>
      <c r="Q102" s="1841"/>
      <c r="R102" s="1840"/>
      <c r="S102" s="1840"/>
      <c r="T102" s="1840"/>
      <c r="U102" s="1759"/>
      <c r="V102" s="379"/>
      <c r="W102" s="756"/>
      <c r="X102" s="161"/>
      <c r="Y102" s="161"/>
      <c r="Z102" s="161"/>
    </row>
    <row r="103" spans="1:26" ht="15.75" customHeight="1" x14ac:dyDescent="0.2">
      <c r="A103" s="161"/>
      <c r="B103" s="161"/>
      <c r="C103" s="161"/>
      <c r="D103" s="161"/>
      <c r="E103" s="161"/>
      <c r="F103" s="161"/>
      <c r="G103" s="25"/>
      <c r="H103" s="25"/>
      <c r="I103" s="25"/>
      <c r="J103" s="25"/>
      <c r="K103" s="25"/>
      <c r="L103" s="25"/>
      <c r="M103" s="25"/>
      <c r="N103" s="25"/>
      <c r="O103" s="25"/>
      <c r="P103" s="25"/>
      <c r="Q103" s="1841"/>
      <c r="R103" s="1840"/>
      <c r="S103" s="1840"/>
      <c r="T103" s="1840"/>
      <c r="U103" s="1759"/>
      <c r="V103" s="378"/>
      <c r="W103" s="161"/>
      <c r="X103" s="161"/>
      <c r="Y103" s="161"/>
      <c r="Z103" s="161"/>
    </row>
    <row r="104" spans="1:26" ht="15.75" customHeight="1" x14ac:dyDescent="0.25">
      <c r="A104" s="161"/>
      <c r="B104" s="161"/>
      <c r="C104" s="161"/>
      <c r="D104" s="161"/>
      <c r="E104" s="161"/>
      <c r="F104" s="161"/>
      <c r="G104" s="25"/>
      <c r="H104" s="25"/>
      <c r="I104" s="25"/>
      <c r="J104" s="25"/>
      <c r="K104" s="25"/>
      <c r="L104" s="25"/>
      <c r="M104" s="25"/>
      <c r="N104" s="25"/>
      <c r="O104" s="25"/>
      <c r="P104" s="25"/>
      <c r="Q104" s="1858" t="s">
        <v>1450</v>
      </c>
      <c r="R104" s="1840"/>
      <c r="S104" s="1840"/>
      <c r="T104" s="1840"/>
      <c r="U104" s="1759"/>
      <c r="V104" s="1451">
        <f>V97/1000000</f>
        <v>2.1430802972069056</v>
      </c>
      <c r="W104" s="161"/>
      <c r="X104" s="161"/>
      <c r="Y104" s="161"/>
      <c r="Z104" s="161"/>
    </row>
    <row r="105" spans="1:26" ht="11.25" customHeight="1" x14ac:dyDescent="0.2">
      <c r="A105" s="161"/>
      <c r="B105" s="161"/>
      <c r="C105" s="161"/>
      <c r="D105" s="161"/>
      <c r="E105" s="161"/>
      <c r="F105" s="161"/>
      <c r="G105" s="161"/>
      <c r="H105" s="161"/>
      <c r="I105" s="161"/>
      <c r="J105" s="161"/>
      <c r="K105" s="161"/>
      <c r="L105" s="161"/>
      <c r="M105" s="161"/>
      <c r="N105" s="161"/>
      <c r="O105" s="161"/>
      <c r="P105" s="161"/>
      <c r="Q105" s="161"/>
      <c r="R105" s="161"/>
      <c r="S105" s="161"/>
      <c r="T105" s="161"/>
      <c r="U105" s="161"/>
      <c r="V105" s="161"/>
      <c r="W105" s="161"/>
      <c r="X105" s="161"/>
      <c r="Y105" s="161"/>
      <c r="Z105" s="161"/>
    </row>
    <row r="106" spans="1:26" ht="11.25" customHeight="1" x14ac:dyDescent="0.2">
      <c r="A106" s="161"/>
      <c r="B106" s="161"/>
      <c r="C106" s="161"/>
      <c r="D106" s="161"/>
      <c r="E106" s="161"/>
      <c r="F106" s="161"/>
      <c r="G106" s="161"/>
      <c r="H106" s="161"/>
      <c r="I106" s="161"/>
      <c r="J106" s="161"/>
      <c r="K106" s="161"/>
      <c r="L106" s="161"/>
      <c r="M106" s="161"/>
      <c r="N106" s="161"/>
      <c r="O106" s="161"/>
      <c r="P106" s="161"/>
      <c r="Q106" s="161"/>
      <c r="R106" s="161"/>
      <c r="S106" s="161"/>
      <c r="T106" s="161"/>
      <c r="U106" s="161"/>
      <c r="V106" s="161"/>
      <c r="W106" s="161"/>
      <c r="X106" s="161"/>
      <c r="Y106" s="161"/>
      <c r="Z106" s="161"/>
    </row>
    <row r="107" spans="1:26" ht="11.25" customHeight="1" x14ac:dyDescent="0.2">
      <c r="A107" s="161"/>
      <c r="B107" s="161"/>
      <c r="C107" s="161"/>
      <c r="D107" s="161"/>
      <c r="E107" s="161"/>
      <c r="F107" s="161"/>
      <c r="G107" s="161"/>
      <c r="H107" s="161"/>
      <c r="I107" s="161"/>
      <c r="J107" s="161"/>
      <c r="K107" s="161"/>
      <c r="L107" s="161"/>
      <c r="M107" s="161"/>
      <c r="N107" s="161"/>
      <c r="O107" s="161"/>
      <c r="P107" s="161"/>
      <c r="Q107" s="161"/>
      <c r="R107" s="161"/>
      <c r="S107" s="161"/>
      <c r="T107" s="161"/>
      <c r="U107" s="161"/>
      <c r="V107" s="161"/>
      <c r="W107" s="161"/>
      <c r="X107" s="161"/>
      <c r="Y107" s="161"/>
      <c r="Z107" s="161"/>
    </row>
    <row r="108" spans="1:26" ht="11.25" customHeight="1" x14ac:dyDescent="0.2">
      <c r="A108" s="161"/>
      <c r="B108" s="161"/>
      <c r="C108" s="161"/>
      <c r="D108" s="161"/>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row>
    <row r="109" spans="1:26" ht="11.25" customHeight="1" x14ac:dyDescent="0.2">
      <c r="A109" s="161"/>
      <c r="B109" s="161"/>
      <c r="C109" s="161"/>
      <c r="D109" s="161"/>
      <c r="E109" s="161"/>
      <c r="F109" s="161"/>
      <c r="G109" s="161"/>
      <c r="H109" s="161"/>
      <c r="I109" s="161"/>
      <c r="J109" s="161"/>
      <c r="K109" s="161"/>
      <c r="L109" s="161"/>
      <c r="M109" s="161"/>
      <c r="N109" s="161"/>
      <c r="O109" s="161"/>
      <c r="P109" s="161"/>
      <c r="Q109" s="161"/>
      <c r="R109" s="161"/>
      <c r="S109" s="161"/>
      <c r="T109" s="161"/>
      <c r="U109" s="161"/>
      <c r="V109" s="161"/>
      <c r="W109" s="161"/>
      <c r="X109" s="161"/>
      <c r="Y109" s="161"/>
      <c r="Z109" s="161"/>
    </row>
    <row r="110" spans="1:26" ht="11.25" customHeight="1" x14ac:dyDescent="0.2">
      <c r="A110" s="161"/>
      <c r="B110" s="161"/>
      <c r="C110" s="161"/>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row>
    <row r="111" spans="1:26" ht="11.25" customHeight="1" x14ac:dyDescent="0.2">
      <c r="A111" s="161"/>
      <c r="B111" s="161"/>
      <c r="C111" s="161"/>
      <c r="D111" s="161"/>
      <c r="E111" s="161"/>
      <c r="F111" s="161"/>
      <c r="G111" s="161"/>
      <c r="H111" s="161"/>
      <c r="I111" s="161"/>
      <c r="J111" s="161"/>
      <c r="K111" s="161"/>
      <c r="L111" s="161"/>
      <c r="M111" s="161"/>
      <c r="N111" s="161"/>
      <c r="O111" s="161"/>
      <c r="P111" s="161"/>
      <c r="Q111" s="161"/>
      <c r="R111" s="161"/>
      <c r="S111" s="161"/>
      <c r="T111" s="161"/>
      <c r="U111" s="161"/>
      <c r="V111" s="161"/>
      <c r="W111" s="161"/>
      <c r="X111" s="161"/>
      <c r="Y111" s="161"/>
      <c r="Z111" s="161"/>
    </row>
    <row r="112" spans="1:26" ht="11.25" customHeight="1" x14ac:dyDescent="0.2">
      <c r="A112" s="161"/>
      <c r="B112" s="161"/>
      <c r="C112" s="161"/>
      <c r="D112" s="161"/>
      <c r="E112" s="161"/>
      <c r="F112" s="161"/>
      <c r="G112" s="161"/>
      <c r="H112" s="161"/>
      <c r="I112" s="161"/>
      <c r="J112" s="161"/>
      <c r="K112" s="161"/>
      <c r="L112" s="161"/>
      <c r="M112" s="161"/>
      <c r="N112" s="161"/>
      <c r="O112" s="161"/>
      <c r="P112" s="161"/>
      <c r="Q112" s="161"/>
      <c r="R112" s="161"/>
      <c r="S112" s="161"/>
      <c r="T112" s="161"/>
      <c r="U112" s="161"/>
      <c r="V112" s="161"/>
      <c r="W112" s="161"/>
      <c r="X112" s="161"/>
      <c r="Y112" s="161"/>
      <c r="Z112" s="161"/>
    </row>
    <row r="113" spans="1:26" ht="11.25" customHeight="1" x14ac:dyDescent="0.2">
      <c r="A113" s="161"/>
      <c r="B113" s="161"/>
      <c r="C113" s="161"/>
      <c r="D113" s="161"/>
      <c r="E113" s="161"/>
      <c r="F113" s="161"/>
      <c r="G113" s="161"/>
      <c r="H113" s="161"/>
      <c r="I113" s="161"/>
      <c r="J113" s="161"/>
      <c r="K113" s="161"/>
      <c r="L113" s="161"/>
      <c r="M113" s="161"/>
      <c r="N113" s="161"/>
      <c r="O113" s="161"/>
      <c r="P113" s="161"/>
      <c r="Q113" s="161"/>
      <c r="R113" s="161"/>
      <c r="S113" s="161"/>
      <c r="T113" s="161"/>
      <c r="U113" s="161"/>
      <c r="V113" s="161"/>
      <c r="W113" s="161"/>
      <c r="X113" s="161"/>
      <c r="Y113" s="161"/>
      <c r="Z113" s="161"/>
    </row>
    <row r="114" spans="1:26" ht="11.25" customHeight="1" x14ac:dyDescent="0.2">
      <c r="A114" s="161"/>
      <c r="B114" s="161"/>
      <c r="C114" s="161"/>
      <c r="D114" s="161"/>
      <c r="E114" s="161"/>
      <c r="F114" s="161"/>
      <c r="G114" s="161"/>
      <c r="H114" s="161"/>
      <c r="I114" s="161"/>
      <c r="J114" s="161"/>
      <c r="K114" s="161"/>
      <c r="L114" s="161"/>
      <c r="M114" s="161"/>
      <c r="N114" s="161"/>
      <c r="O114" s="161"/>
      <c r="P114" s="161"/>
      <c r="Q114" s="161"/>
      <c r="R114" s="161"/>
      <c r="S114" s="161"/>
      <c r="T114" s="161"/>
      <c r="U114" s="161"/>
      <c r="V114" s="161"/>
      <c r="W114" s="161"/>
      <c r="X114" s="161"/>
      <c r="Y114" s="161"/>
      <c r="Z114" s="161"/>
    </row>
    <row r="115" spans="1:26" ht="11.25" customHeight="1" x14ac:dyDescent="0.2">
      <c r="A115" s="161"/>
      <c r="B115" s="161"/>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row>
    <row r="116" spans="1:26" ht="11.25" customHeight="1" x14ac:dyDescent="0.2">
      <c r="A116" s="161"/>
      <c r="B116" s="161"/>
      <c r="C116" s="161"/>
      <c r="D116" s="161"/>
      <c r="E116" s="161"/>
      <c r="F116" s="161"/>
      <c r="G116" s="161"/>
      <c r="H116" s="161"/>
      <c r="I116" s="161"/>
      <c r="J116" s="161"/>
      <c r="K116" s="161"/>
      <c r="L116" s="161"/>
      <c r="M116" s="161"/>
      <c r="N116" s="161"/>
      <c r="O116" s="161"/>
      <c r="P116" s="161"/>
      <c r="Q116" s="161"/>
      <c r="R116" s="161"/>
      <c r="S116" s="161"/>
      <c r="T116" s="161"/>
      <c r="U116" s="161"/>
      <c r="V116" s="161"/>
      <c r="W116" s="161"/>
      <c r="X116" s="161"/>
      <c r="Y116" s="161"/>
      <c r="Z116" s="161"/>
    </row>
    <row r="117" spans="1:26" ht="11.25" customHeight="1" x14ac:dyDescent="0.2">
      <c r="A117" s="161"/>
      <c r="B117" s="161"/>
      <c r="C117" s="161"/>
      <c r="D117" s="161"/>
      <c r="E117" s="161"/>
      <c r="F117" s="161"/>
      <c r="G117" s="161"/>
      <c r="H117" s="161"/>
      <c r="I117" s="161"/>
      <c r="J117" s="161"/>
      <c r="K117" s="161"/>
      <c r="L117" s="161"/>
      <c r="M117" s="161"/>
      <c r="N117" s="161"/>
      <c r="O117" s="161"/>
      <c r="P117" s="161"/>
      <c r="Q117" s="161"/>
      <c r="R117" s="161"/>
      <c r="S117" s="161"/>
      <c r="T117" s="161"/>
      <c r="U117" s="161"/>
      <c r="V117" s="161"/>
      <c r="W117" s="161"/>
      <c r="X117" s="161"/>
      <c r="Y117" s="161"/>
      <c r="Z117" s="161"/>
    </row>
    <row r="118" spans="1:26" ht="11.25" customHeight="1" x14ac:dyDescent="0.2">
      <c r="A118" s="161"/>
      <c r="B118" s="161"/>
      <c r="C118" s="161"/>
      <c r="D118" s="161"/>
      <c r="E118" s="161"/>
      <c r="F118" s="161"/>
      <c r="G118" s="161"/>
      <c r="H118" s="161"/>
      <c r="I118" s="161"/>
      <c r="J118" s="161"/>
      <c r="K118" s="161"/>
      <c r="L118" s="161"/>
      <c r="M118" s="161"/>
      <c r="N118" s="161"/>
      <c r="O118" s="161"/>
      <c r="P118" s="161"/>
      <c r="Q118" s="161"/>
      <c r="R118" s="161"/>
      <c r="S118" s="161"/>
      <c r="T118" s="161"/>
      <c r="U118" s="161"/>
      <c r="V118" s="161"/>
      <c r="W118" s="161"/>
      <c r="X118" s="161"/>
      <c r="Y118" s="161"/>
      <c r="Z118" s="161"/>
    </row>
    <row r="119" spans="1:26" ht="11.25" customHeight="1" x14ac:dyDescent="0.2">
      <c r="A119" s="161"/>
      <c r="B119" s="161"/>
      <c r="C119" s="161"/>
      <c r="D119" s="161"/>
      <c r="E119" s="161"/>
      <c r="F119" s="161"/>
      <c r="G119" s="161"/>
      <c r="H119" s="161"/>
      <c r="I119" s="161"/>
      <c r="J119" s="161"/>
      <c r="K119" s="161"/>
      <c r="L119" s="161"/>
      <c r="M119" s="161"/>
      <c r="N119" s="161"/>
      <c r="O119" s="161"/>
      <c r="P119" s="161"/>
      <c r="Q119" s="161"/>
      <c r="R119" s="161"/>
      <c r="S119" s="161"/>
      <c r="T119" s="161"/>
      <c r="U119" s="161"/>
      <c r="V119" s="161"/>
      <c r="W119" s="161"/>
      <c r="X119" s="161"/>
      <c r="Y119" s="161"/>
      <c r="Z119" s="161"/>
    </row>
    <row r="120" spans="1:26" ht="11.25" customHeight="1" x14ac:dyDescent="0.2">
      <c r="A120" s="161"/>
      <c r="B120" s="161"/>
      <c r="C120" s="161"/>
      <c r="D120" s="161"/>
      <c r="E120" s="161"/>
      <c r="F120" s="161"/>
      <c r="G120" s="161"/>
      <c r="H120" s="161"/>
      <c r="I120" s="161"/>
      <c r="J120" s="161"/>
      <c r="K120" s="161"/>
      <c r="L120" s="161"/>
      <c r="M120" s="161"/>
      <c r="N120" s="161"/>
      <c r="O120" s="161"/>
      <c r="P120" s="161"/>
      <c r="Q120" s="161"/>
      <c r="R120" s="161"/>
      <c r="S120" s="161"/>
      <c r="T120" s="161"/>
      <c r="U120" s="161"/>
      <c r="V120" s="161"/>
      <c r="W120" s="161"/>
      <c r="X120" s="161"/>
      <c r="Y120" s="161"/>
      <c r="Z120" s="161"/>
    </row>
    <row r="121" spans="1:26" ht="11.25" customHeight="1" x14ac:dyDescent="0.2">
      <c r="A121" s="161"/>
      <c r="B121" s="161"/>
      <c r="C121" s="161"/>
      <c r="D121" s="161"/>
      <c r="E121" s="161"/>
      <c r="F121" s="161"/>
      <c r="G121" s="161"/>
      <c r="H121" s="161"/>
      <c r="I121" s="161"/>
      <c r="J121" s="161"/>
      <c r="K121" s="161"/>
      <c r="L121" s="161"/>
      <c r="M121" s="161"/>
      <c r="N121" s="161"/>
      <c r="O121" s="161"/>
      <c r="P121" s="161"/>
      <c r="Q121" s="161"/>
      <c r="R121" s="161"/>
      <c r="S121" s="161"/>
      <c r="T121" s="161"/>
      <c r="U121" s="161"/>
      <c r="V121" s="161"/>
      <c r="W121" s="161"/>
      <c r="X121" s="161"/>
      <c r="Y121" s="161"/>
      <c r="Z121" s="161"/>
    </row>
    <row r="122" spans="1:26" ht="11.25" customHeight="1" x14ac:dyDescent="0.2">
      <c r="A122" s="161"/>
      <c r="B122" s="161"/>
      <c r="C122" s="161"/>
      <c r="D122" s="161"/>
      <c r="E122" s="161"/>
      <c r="F122" s="161"/>
      <c r="G122" s="161"/>
      <c r="H122" s="161"/>
      <c r="I122" s="161"/>
      <c r="J122" s="161"/>
      <c r="K122" s="161"/>
      <c r="L122" s="161"/>
      <c r="M122" s="161"/>
      <c r="N122" s="161"/>
      <c r="O122" s="161"/>
      <c r="P122" s="161"/>
      <c r="Q122" s="161"/>
      <c r="R122" s="161"/>
      <c r="S122" s="161"/>
      <c r="T122" s="161"/>
      <c r="U122" s="161"/>
      <c r="V122" s="161"/>
      <c r="W122" s="161"/>
      <c r="X122" s="161"/>
      <c r="Y122" s="161"/>
      <c r="Z122" s="161"/>
    </row>
    <row r="123" spans="1:26" ht="11.25" customHeight="1" x14ac:dyDescent="0.2">
      <c r="A123" s="161"/>
      <c r="B123" s="161"/>
      <c r="C123" s="161"/>
      <c r="D123" s="161"/>
      <c r="E123" s="161"/>
      <c r="F123" s="161"/>
      <c r="G123" s="161"/>
      <c r="H123" s="161"/>
      <c r="I123" s="161"/>
      <c r="J123" s="161"/>
      <c r="K123" s="161"/>
      <c r="L123" s="161"/>
      <c r="M123" s="161"/>
      <c r="N123" s="161"/>
      <c r="O123" s="161"/>
      <c r="P123" s="161"/>
      <c r="Q123" s="161"/>
      <c r="R123" s="161"/>
      <c r="S123" s="161"/>
      <c r="T123" s="161"/>
      <c r="U123" s="161"/>
      <c r="V123" s="161"/>
      <c r="W123" s="161"/>
      <c r="X123" s="161"/>
      <c r="Y123" s="161"/>
      <c r="Z123" s="161"/>
    </row>
    <row r="124" spans="1:26" ht="11.25" customHeight="1" x14ac:dyDescent="0.2">
      <c r="A124" s="161"/>
      <c r="B124" s="161"/>
      <c r="C124" s="161"/>
      <c r="D124" s="161"/>
      <c r="E124" s="161"/>
      <c r="F124" s="161"/>
      <c r="G124" s="161"/>
      <c r="H124" s="161"/>
      <c r="I124" s="161"/>
      <c r="J124" s="161"/>
      <c r="K124" s="161"/>
      <c r="L124" s="161"/>
      <c r="M124" s="161"/>
      <c r="N124" s="161"/>
      <c r="O124" s="161"/>
      <c r="P124" s="161"/>
      <c r="Q124" s="161"/>
      <c r="R124" s="161"/>
      <c r="S124" s="161"/>
      <c r="T124" s="161"/>
      <c r="U124" s="161"/>
      <c r="V124" s="161"/>
      <c r="W124" s="161"/>
      <c r="X124" s="161"/>
      <c r="Y124" s="161"/>
      <c r="Z124" s="161"/>
    </row>
    <row r="125" spans="1:26" ht="11.25" customHeight="1" x14ac:dyDescent="0.2">
      <c r="A125" s="161"/>
      <c r="B125" s="161"/>
      <c r="C125" s="161"/>
      <c r="D125" s="161"/>
      <c r="E125" s="161"/>
      <c r="F125" s="161"/>
      <c r="G125" s="161"/>
      <c r="H125" s="161"/>
      <c r="I125" s="161"/>
      <c r="J125" s="161"/>
      <c r="K125" s="161"/>
      <c r="L125" s="161"/>
      <c r="M125" s="161"/>
      <c r="N125" s="161"/>
      <c r="O125" s="161"/>
      <c r="P125" s="161"/>
      <c r="Q125" s="161"/>
      <c r="R125" s="161"/>
      <c r="S125" s="161"/>
      <c r="T125" s="161"/>
      <c r="U125" s="161"/>
      <c r="V125" s="161"/>
      <c r="W125" s="161"/>
      <c r="X125" s="161"/>
      <c r="Y125" s="161"/>
      <c r="Z125" s="161"/>
    </row>
    <row r="126" spans="1:26" ht="11.25" customHeight="1" x14ac:dyDescent="0.2">
      <c r="A126" s="161"/>
      <c r="B126" s="161"/>
      <c r="C126" s="161"/>
      <c r="D126" s="161"/>
      <c r="E126" s="161"/>
      <c r="F126" s="161"/>
      <c r="G126" s="161"/>
      <c r="H126" s="161"/>
      <c r="I126" s="161"/>
      <c r="J126" s="161"/>
      <c r="K126" s="161"/>
      <c r="L126" s="161"/>
      <c r="M126" s="161"/>
      <c r="N126" s="161"/>
      <c r="O126" s="161"/>
      <c r="P126" s="161"/>
      <c r="Q126" s="161"/>
      <c r="R126" s="161"/>
      <c r="S126" s="161"/>
      <c r="T126" s="161"/>
      <c r="U126" s="161"/>
      <c r="V126" s="161"/>
      <c r="W126" s="161"/>
      <c r="X126" s="161"/>
      <c r="Y126" s="161"/>
      <c r="Z126" s="161"/>
    </row>
    <row r="127" spans="1:26" ht="11.25" customHeight="1" x14ac:dyDescent="0.2">
      <c r="A127" s="161"/>
      <c r="B127" s="161"/>
      <c r="C127" s="161"/>
      <c r="D127" s="161"/>
      <c r="E127" s="161"/>
      <c r="F127" s="161"/>
      <c r="G127" s="161"/>
      <c r="H127" s="161"/>
      <c r="I127" s="161"/>
      <c r="J127" s="161"/>
      <c r="K127" s="161"/>
      <c r="L127" s="161"/>
      <c r="M127" s="161"/>
      <c r="N127" s="161"/>
      <c r="O127" s="161"/>
      <c r="P127" s="161"/>
      <c r="Q127" s="161"/>
      <c r="R127" s="161"/>
      <c r="S127" s="161"/>
      <c r="T127" s="161"/>
      <c r="U127" s="161"/>
      <c r="V127" s="161"/>
      <c r="W127" s="161"/>
      <c r="X127" s="161"/>
      <c r="Y127" s="161"/>
      <c r="Z127" s="161"/>
    </row>
    <row r="128" spans="1:26" ht="11.25" customHeight="1" x14ac:dyDescent="0.2">
      <c r="A128" s="161"/>
      <c r="B128" s="161"/>
      <c r="C128" s="161"/>
      <c r="D128" s="161"/>
      <c r="E128" s="161"/>
      <c r="F128" s="161"/>
      <c r="G128" s="161"/>
      <c r="H128" s="161"/>
      <c r="I128" s="161"/>
      <c r="J128" s="161"/>
      <c r="K128" s="161"/>
      <c r="L128" s="161"/>
      <c r="M128" s="161"/>
      <c r="N128" s="161"/>
      <c r="O128" s="161"/>
      <c r="P128" s="161"/>
      <c r="Q128" s="161"/>
      <c r="R128" s="161"/>
      <c r="S128" s="161"/>
      <c r="T128" s="161"/>
      <c r="U128" s="161"/>
      <c r="V128" s="161"/>
      <c r="W128" s="161"/>
      <c r="X128" s="161"/>
      <c r="Y128" s="161"/>
      <c r="Z128" s="161"/>
    </row>
    <row r="129" spans="1:26" ht="11.25" customHeight="1" x14ac:dyDescent="0.2">
      <c r="A129" s="161"/>
      <c r="B129" s="161"/>
      <c r="C129" s="161"/>
      <c r="D129" s="161"/>
      <c r="E129" s="161"/>
      <c r="F129" s="161"/>
      <c r="G129" s="161"/>
      <c r="H129" s="161"/>
      <c r="I129" s="161"/>
      <c r="J129" s="161"/>
      <c r="K129" s="161"/>
      <c r="L129" s="161"/>
      <c r="M129" s="161"/>
      <c r="N129" s="161"/>
      <c r="O129" s="161"/>
      <c r="P129" s="161"/>
      <c r="Q129" s="161"/>
      <c r="R129" s="161"/>
      <c r="S129" s="161"/>
      <c r="T129" s="161"/>
      <c r="U129" s="161"/>
      <c r="V129" s="161"/>
      <c r="W129" s="161"/>
      <c r="X129" s="161"/>
      <c r="Y129" s="161"/>
      <c r="Z129" s="161"/>
    </row>
    <row r="130" spans="1:26" ht="11.25" customHeight="1" x14ac:dyDescent="0.2">
      <c r="A130" s="161"/>
      <c r="B130" s="161"/>
      <c r="C130" s="161"/>
      <c r="D130" s="161"/>
      <c r="E130" s="161"/>
      <c r="F130" s="161"/>
      <c r="G130" s="161"/>
      <c r="H130" s="161"/>
      <c r="I130" s="161"/>
      <c r="J130" s="161"/>
      <c r="K130" s="161"/>
      <c r="L130" s="161"/>
      <c r="M130" s="161"/>
      <c r="N130" s="161"/>
      <c r="O130" s="161"/>
      <c r="P130" s="161"/>
      <c r="Q130" s="161"/>
      <c r="R130" s="161"/>
      <c r="S130" s="161"/>
      <c r="T130" s="161"/>
      <c r="U130" s="161"/>
      <c r="V130" s="161"/>
      <c r="W130" s="161"/>
      <c r="X130" s="161"/>
      <c r="Y130" s="161"/>
      <c r="Z130" s="161"/>
    </row>
    <row r="131" spans="1:26" ht="11.25" customHeight="1" x14ac:dyDescent="0.2">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161"/>
      <c r="X131" s="161"/>
      <c r="Y131" s="161"/>
      <c r="Z131" s="161"/>
    </row>
    <row r="132" spans="1:26" ht="11.25" customHeight="1" x14ac:dyDescent="0.2">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161"/>
      <c r="X132" s="161"/>
      <c r="Y132" s="161"/>
      <c r="Z132" s="161"/>
    </row>
    <row r="133" spans="1:26" ht="11.25" customHeight="1" x14ac:dyDescent="0.2">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161"/>
      <c r="X133" s="161"/>
      <c r="Y133" s="161"/>
      <c r="Z133" s="161"/>
    </row>
    <row r="134" spans="1:26" ht="11.25" customHeight="1" x14ac:dyDescent="0.2">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161"/>
      <c r="X134" s="161"/>
      <c r="Y134" s="161"/>
      <c r="Z134" s="161"/>
    </row>
    <row r="135" spans="1:26" ht="11.25" customHeight="1" x14ac:dyDescent="0.2">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c r="Y135" s="161"/>
      <c r="Z135" s="161"/>
    </row>
    <row r="136" spans="1:26" ht="11.25" customHeight="1" x14ac:dyDescent="0.2">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161"/>
      <c r="X136" s="161"/>
      <c r="Y136" s="161"/>
      <c r="Z136" s="161"/>
    </row>
    <row r="137" spans="1:26" ht="11.25" customHeight="1" x14ac:dyDescent="0.2">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c r="Y137" s="161"/>
      <c r="Z137" s="161"/>
    </row>
    <row r="138" spans="1:26" ht="11.25" customHeight="1" x14ac:dyDescent="0.2">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161"/>
      <c r="X138" s="161"/>
      <c r="Y138" s="161"/>
      <c r="Z138" s="161"/>
    </row>
    <row r="139" spans="1:26" ht="11.25" customHeight="1" x14ac:dyDescent="0.2">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161"/>
      <c r="X139" s="161"/>
      <c r="Y139" s="161"/>
      <c r="Z139" s="161"/>
    </row>
    <row r="140" spans="1:26" ht="11.25" customHeight="1" x14ac:dyDescent="0.2">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161"/>
      <c r="X140" s="161"/>
      <c r="Y140" s="161"/>
      <c r="Z140" s="161"/>
    </row>
    <row r="141" spans="1:26" ht="11.25" customHeight="1" x14ac:dyDescent="0.2">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161"/>
      <c r="X141" s="161"/>
      <c r="Y141" s="161"/>
      <c r="Z141" s="161"/>
    </row>
    <row r="142" spans="1:26" ht="11.25" customHeight="1" x14ac:dyDescent="0.2">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161"/>
      <c r="X142" s="161"/>
      <c r="Y142" s="161"/>
      <c r="Z142" s="161"/>
    </row>
    <row r="143" spans="1:26" ht="11.25" customHeight="1" x14ac:dyDescent="0.2">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161"/>
      <c r="X143" s="161"/>
      <c r="Y143" s="161"/>
      <c r="Z143" s="161"/>
    </row>
    <row r="144" spans="1:26" ht="11.25" customHeight="1" x14ac:dyDescent="0.2">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c r="Y144" s="161"/>
      <c r="Z144" s="161"/>
    </row>
    <row r="145" spans="1:26" ht="11.25" customHeight="1" x14ac:dyDescent="0.2">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161"/>
      <c r="X145" s="161"/>
      <c r="Y145" s="161"/>
      <c r="Z145" s="161"/>
    </row>
    <row r="146" spans="1:26" ht="11.25" customHeight="1" x14ac:dyDescent="0.2">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row>
    <row r="147" spans="1:26" ht="11.25" customHeight="1" x14ac:dyDescent="0.2">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161"/>
      <c r="Y147" s="161"/>
      <c r="Z147" s="161"/>
    </row>
    <row r="148" spans="1:26" ht="11.25" customHeight="1" x14ac:dyDescent="0.2">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161"/>
      <c r="X148" s="161"/>
      <c r="Y148" s="161"/>
      <c r="Z148" s="161"/>
    </row>
    <row r="149" spans="1:26" ht="11.25" customHeight="1" x14ac:dyDescent="0.2">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161"/>
      <c r="X149" s="161"/>
      <c r="Y149" s="161"/>
      <c r="Z149" s="161"/>
    </row>
    <row r="150" spans="1:26" ht="11.25" customHeight="1" x14ac:dyDescent="0.2">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161"/>
      <c r="X150" s="161"/>
      <c r="Y150" s="161"/>
      <c r="Z150" s="161"/>
    </row>
    <row r="151" spans="1:26" ht="11.25" customHeight="1" x14ac:dyDescent="0.2">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161"/>
      <c r="X151" s="161"/>
      <c r="Y151" s="161"/>
      <c r="Z151" s="161"/>
    </row>
    <row r="152" spans="1:26" ht="11.25" customHeight="1" x14ac:dyDescent="0.2">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161"/>
      <c r="X152" s="161"/>
      <c r="Y152" s="161"/>
      <c r="Z152" s="161"/>
    </row>
    <row r="153" spans="1:26" ht="11.25" customHeight="1" x14ac:dyDescent="0.2">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161"/>
      <c r="X153" s="161"/>
      <c r="Y153" s="161"/>
      <c r="Z153" s="161"/>
    </row>
    <row r="154" spans="1:26" ht="11.25" customHeight="1" x14ac:dyDescent="0.2">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161"/>
      <c r="X154" s="161"/>
      <c r="Y154" s="161"/>
      <c r="Z154" s="161"/>
    </row>
    <row r="155" spans="1:26" ht="11.25" customHeight="1" x14ac:dyDescent="0.2">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161"/>
      <c r="X155" s="161"/>
      <c r="Y155" s="161"/>
      <c r="Z155" s="161"/>
    </row>
    <row r="156" spans="1:26" ht="11.25" customHeight="1" x14ac:dyDescent="0.2">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161"/>
      <c r="X156" s="161"/>
      <c r="Y156" s="161"/>
      <c r="Z156" s="161"/>
    </row>
    <row r="157" spans="1:26" ht="11.25" customHeight="1" x14ac:dyDescent="0.2">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161"/>
      <c r="X157" s="161"/>
      <c r="Y157" s="161"/>
      <c r="Z157" s="161"/>
    </row>
    <row r="158" spans="1:26" ht="11.25" customHeight="1" x14ac:dyDescent="0.2">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161"/>
      <c r="X158" s="161"/>
      <c r="Y158" s="161"/>
      <c r="Z158" s="161"/>
    </row>
    <row r="159" spans="1:26" ht="11.25" customHeight="1" x14ac:dyDescent="0.2">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161"/>
      <c r="X159" s="161"/>
      <c r="Y159" s="161"/>
      <c r="Z159" s="161"/>
    </row>
    <row r="160" spans="1:26" ht="11.25" customHeight="1" x14ac:dyDescent="0.2">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161"/>
      <c r="X160" s="161"/>
      <c r="Y160" s="161"/>
      <c r="Z160" s="161"/>
    </row>
    <row r="161" spans="1:26" ht="11.25" customHeight="1" x14ac:dyDescent="0.2">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161"/>
      <c r="X161" s="161"/>
      <c r="Y161" s="161"/>
      <c r="Z161" s="161"/>
    </row>
    <row r="162" spans="1:26" ht="11.25" customHeight="1" x14ac:dyDescent="0.2">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161"/>
      <c r="X162" s="161"/>
      <c r="Y162" s="161"/>
      <c r="Z162" s="161"/>
    </row>
    <row r="163" spans="1:26" ht="11.25" customHeight="1" x14ac:dyDescent="0.2">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161"/>
      <c r="X163" s="161"/>
      <c r="Y163" s="161"/>
      <c r="Z163" s="161"/>
    </row>
    <row r="164" spans="1:26" ht="11.25" customHeight="1" x14ac:dyDescent="0.2">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161"/>
      <c r="X164" s="161"/>
      <c r="Y164" s="161"/>
      <c r="Z164" s="161"/>
    </row>
    <row r="165" spans="1:26" ht="11.25" customHeight="1" x14ac:dyDescent="0.2">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161"/>
      <c r="X165" s="161"/>
      <c r="Y165" s="161"/>
      <c r="Z165" s="161"/>
    </row>
    <row r="166" spans="1:26" ht="11.25" customHeight="1" x14ac:dyDescent="0.2">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161"/>
      <c r="X166" s="161"/>
      <c r="Y166" s="161"/>
      <c r="Z166" s="161"/>
    </row>
    <row r="167" spans="1:26" ht="11.25" customHeight="1" x14ac:dyDescent="0.2">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161"/>
      <c r="X167" s="161"/>
      <c r="Y167" s="161"/>
      <c r="Z167" s="161"/>
    </row>
    <row r="168" spans="1:26" ht="11.25" customHeight="1" x14ac:dyDescent="0.2">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161"/>
      <c r="X168" s="161"/>
      <c r="Y168" s="161"/>
      <c r="Z168" s="161"/>
    </row>
    <row r="169" spans="1:26" ht="11.25" customHeight="1" x14ac:dyDescent="0.2">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161"/>
      <c r="X169" s="161"/>
      <c r="Y169" s="161"/>
      <c r="Z169" s="161"/>
    </row>
    <row r="170" spans="1:26" ht="11.25" customHeight="1" x14ac:dyDescent="0.2">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161"/>
      <c r="X170" s="161"/>
      <c r="Y170" s="161"/>
      <c r="Z170" s="161"/>
    </row>
    <row r="171" spans="1:26" ht="11.25" customHeight="1" x14ac:dyDescent="0.2">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161"/>
      <c r="X171" s="161"/>
      <c r="Y171" s="161"/>
      <c r="Z171" s="161"/>
    </row>
    <row r="172" spans="1:26" ht="11.25" customHeight="1" x14ac:dyDescent="0.2">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161"/>
      <c r="X172" s="161"/>
      <c r="Y172" s="161"/>
      <c r="Z172" s="161"/>
    </row>
    <row r="173" spans="1:26" ht="11.25" customHeight="1" x14ac:dyDescent="0.2">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161"/>
      <c r="X173" s="161"/>
      <c r="Y173" s="161"/>
      <c r="Z173" s="161"/>
    </row>
    <row r="174" spans="1:26" ht="11.25" customHeight="1" x14ac:dyDescent="0.2">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161"/>
      <c r="X174" s="161"/>
      <c r="Y174" s="161"/>
      <c r="Z174" s="161"/>
    </row>
    <row r="175" spans="1:26" ht="11.25" customHeight="1" x14ac:dyDescent="0.2">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161"/>
      <c r="X175" s="161"/>
      <c r="Y175" s="161"/>
      <c r="Z175" s="161"/>
    </row>
    <row r="176" spans="1:26" ht="11.25" customHeight="1" x14ac:dyDescent="0.2">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161"/>
      <c r="X176" s="161"/>
      <c r="Y176" s="161"/>
      <c r="Z176" s="161"/>
    </row>
    <row r="177" spans="1:26" ht="11.25" customHeight="1" x14ac:dyDescent="0.2">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161"/>
      <c r="X177" s="161"/>
      <c r="Y177" s="161"/>
      <c r="Z177" s="161"/>
    </row>
    <row r="178" spans="1:26" ht="11.25" customHeight="1" x14ac:dyDescent="0.2">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161"/>
      <c r="X178" s="161"/>
      <c r="Y178" s="161"/>
      <c r="Z178" s="161"/>
    </row>
    <row r="179" spans="1:26" ht="11.25" customHeight="1" x14ac:dyDescent="0.2">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161"/>
      <c r="X179" s="161"/>
      <c r="Y179" s="161"/>
      <c r="Z179" s="161"/>
    </row>
    <row r="180" spans="1:26" ht="11.25" customHeight="1" x14ac:dyDescent="0.2">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161"/>
      <c r="X180" s="161"/>
      <c r="Y180" s="161"/>
      <c r="Z180" s="161"/>
    </row>
    <row r="181" spans="1:26" ht="11.25" customHeight="1" x14ac:dyDescent="0.2">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161"/>
      <c r="X181" s="161"/>
      <c r="Y181" s="161"/>
      <c r="Z181" s="161"/>
    </row>
    <row r="182" spans="1:26" ht="11.25" customHeight="1" x14ac:dyDescent="0.2">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161"/>
      <c r="X182" s="161"/>
      <c r="Y182" s="161"/>
      <c r="Z182" s="161"/>
    </row>
    <row r="183" spans="1:26" ht="11.25" customHeight="1" x14ac:dyDescent="0.2">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161"/>
      <c r="X183" s="161"/>
      <c r="Y183" s="161"/>
      <c r="Z183" s="161"/>
    </row>
    <row r="184" spans="1:26" ht="11.25" customHeight="1" x14ac:dyDescent="0.2">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161"/>
      <c r="X184" s="161"/>
      <c r="Y184" s="161"/>
      <c r="Z184" s="161"/>
    </row>
    <row r="185" spans="1:26" ht="11.25" customHeight="1" x14ac:dyDescent="0.2">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161"/>
      <c r="X185" s="161"/>
      <c r="Y185" s="161"/>
      <c r="Z185" s="161"/>
    </row>
    <row r="186" spans="1:26" ht="11.25" customHeight="1" x14ac:dyDescent="0.2">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161"/>
      <c r="X186" s="161"/>
      <c r="Y186" s="161"/>
      <c r="Z186" s="161"/>
    </row>
    <row r="187" spans="1:26" ht="11.25" customHeight="1" x14ac:dyDescent="0.2">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161"/>
      <c r="X187" s="161"/>
      <c r="Y187" s="161"/>
      <c r="Z187" s="161"/>
    </row>
    <row r="188" spans="1:26" ht="11.25" customHeight="1" x14ac:dyDescent="0.2">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161"/>
      <c r="X188" s="161"/>
      <c r="Y188" s="161"/>
      <c r="Z188" s="161"/>
    </row>
    <row r="189" spans="1:26" ht="11.25" customHeight="1" x14ac:dyDescent="0.2">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161"/>
      <c r="X189" s="161"/>
      <c r="Y189" s="161"/>
      <c r="Z189" s="161"/>
    </row>
    <row r="190" spans="1:26" ht="11.25" customHeight="1" x14ac:dyDescent="0.2">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161"/>
      <c r="X190" s="161"/>
      <c r="Y190" s="161"/>
      <c r="Z190" s="161"/>
    </row>
    <row r="191" spans="1:26" ht="11.25" customHeight="1" x14ac:dyDescent="0.2">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161"/>
      <c r="X191" s="161"/>
      <c r="Y191" s="161"/>
      <c r="Z191" s="161"/>
    </row>
    <row r="192" spans="1:26" ht="11.25" customHeight="1" x14ac:dyDescent="0.2">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161"/>
      <c r="X192" s="161"/>
      <c r="Y192" s="161"/>
      <c r="Z192" s="161"/>
    </row>
    <row r="193" spans="1:26" ht="11.25" customHeight="1" x14ac:dyDescent="0.2">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161"/>
      <c r="X193" s="161"/>
      <c r="Y193" s="161"/>
      <c r="Z193" s="161"/>
    </row>
    <row r="194" spans="1:26" ht="11.25" customHeight="1" x14ac:dyDescent="0.2">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161"/>
      <c r="X194" s="161"/>
      <c r="Y194" s="161"/>
      <c r="Z194" s="161"/>
    </row>
    <row r="195" spans="1:26" ht="11.25" customHeight="1" x14ac:dyDescent="0.2">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161"/>
      <c r="X195" s="161"/>
      <c r="Y195" s="161"/>
      <c r="Z195" s="161"/>
    </row>
    <row r="196" spans="1:26" ht="11.25" customHeight="1" x14ac:dyDescent="0.2">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161"/>
      <c r="X196" s="161"/>
      <c r="Y196" s="161"/>
      <c r="Z196" s="161"/>
    </row>
    <row r="197" spans="1:26" ht="11.25" customHeight="1" x14ac:dyDescent="0.2">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161"/>
      <c r="X197" s="161"/>
      <c r="Y197" s="161"/>
      <c r="Z197" s="161"/>
    </row>
    <row r="198" spans="1:26" ht="11.25" customHeight="1" x14ac:dyDescent="0.2">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161"/>
      <c r="X198" s="161"/>
      <c r="Y198" s="161"/>
      <c r="Z198" s="161"/>
    </row>
    <row r="199" spans="1:26" ht="11.25" customHeight="1" x14ac:dyDescent="0.2">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161"/>
      <c r="X199" s="161"/>
      <c r="Y199" s="161"/>
      <c r="Z199" s="161"/>
    </row>
    <row r="200" spans="1:26" ht="11.25" customHeight="1" x14ac:dyDescent="0.2">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161"/>
      <c r="X200" s="161"/>
      <c r="Y200" s="161"/>
      <c r="Z200" s="161"/>
    </row>
    <row r="201" spans="1:26" ht="11.25" customHeight="1" x14ac:dyDescent="0.2">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161"/>
      <c r="X201" s="161"/>
      <c r="Y201" s="161"/>
      <c r="Z201" s="161"/>
    </row>
    <row r="202" spans="1:26" ht="11.25" customHeight="1" x14ac:dyDescent="0.2">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161"/>
      <c r="X202" s="161"/>
      <c r="Y202" s="161"/>
      <c r="Z202" s="161"/>
    </row>
    <row r="203" spans="1:26" ht="11.25" customHeight="1" x14ac:dyDescent="0.2">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161"/>
      <c r="X203" s="161"/>
      <c r="Y203" s="161"/>
      <c r="Z203" s="161"/>
    </row>
    <row r="204" spans="1:26" ht="11.25" customHeight="1" x14ac:dyDescent="0.2">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161"/>
      <c r="X204" s="161"/>
      <c r="Y204" s="161"/>
      <c r="Z204" s="161"/>
    </row>
    <row r="205" spans="1:26" ht="11.25" customHeight="1" x14ac:dyDescent="0.2">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161"/>
      <c r="X205" s="161"/>
      <c r="Y205" s="161"/>
      <c r="Z205" s="161"/>
    </row>
    <row r="206" spans="1:26" ht="11.25" customHeight="1" x14ac:dyDescent="0.2">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161"/>
      <c r="X206" s="161"/>
      <c r="Y206" s="161"/>
      <c r="Z206" s="161"/>
    </row>
    <row r="207" spans="1:26" ht="11.25" customHeight="1" x14ac:dyDescent="0.2">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161"/>
      <c r="X207" s="161"/>
      <c r="Y207" s="161"/>
      <c r="Z207" s="161"/>
    </row>
    <row r="208" spans="1:26" ht="11.25" customHeight="1" x14ac:dyDescent="0.2">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161"/>
      <c r="X208" s="161"/>
      <c r="Y208" s="161"/>
      <c r="Z208" s="161"/>
    </row>
    <row r="209" spans="1:26" ht="11.25" customHeight="1" x14ac:dyDescent="0.2">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161"/>
      <c r="X209" s="161"/>
      <c r="Y209" s="161"/>
      <c r="Z209" s="161"/>
    </row>
    <row r="210" spans="1:26" ht="11.25" customHeight="1" x14ac:dyDescent="0.2">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161"/>
      <c r="X210" s="161"/>
      <c r="Y210" s="161"/>
      <c r="Z210" s="161"/>
    </row>
    <row r="211" spans="1:26" ht="11.25" customHeight="1" x14ac:dyDescent="0.2">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row>
    <row r="212" spans="1:26" ht="11.25" customHeight="1" x14ac:dyDescent="0.2">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161"/>
      <c r="X212" s="161"/>
      <c r="Y212" s="161"/>
      <c r="Z212" s="161"/>
    </row>
    <row r="213" spans="1:26" ht="11.25" customHeight="1" x14ac:dyDescent="0.2">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161"/>
      <c r="X213" s="161"/>
      <c r="Y213" s="161"/>
      <c r="Z213" s="161"/>
    </row>
    <row r="214" spans="1:26" ht="11.25" customHeight="1" x14ac:dyDescent="0.2">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161"/>
      <c r="X214" s="161"/>
      <c r="Y214" s="161"/>
      <c r="Z214" s="161"/>
    </row>
    <row r="215" spans="1:26" ht="11.25" customHeight="1" x14ac:dyDescent="0.2">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161"/>
      <c r="X215" s="161"/>
      <c r="Y215" s="161"/>
      <c r="Z215" s="161"/>
    </row>
    <row r="216" spans="1:26" ht="11.25" customHeight="1" x14ac:dyDescent="0.2">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161"/>
      <c r="X216" s="161"/>
      <c r="Y216" s="161"/>
      <c r="Z216" s="161"/>
    </row>
    <row r="217" spans="1:26" ht="11.25" customHeight="1" x14ac:dyDescent="0.2">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161"/>
      <c r="X217" s="161"/>
      <c r="Y217" s="161"/>
      <c r="Z217" s="161"/>
    </row>
    <row r="218" spans="1:26" ht="11.25" customHeight="1" x14ac:dyDescent="0.2">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161"/>
      <c r="X218" s="161"/>
      <c r="Y218" s="161"/>
      <c r="Z218" s="161"/>
    </row>
    <row r="219" spans="1:26" ht="11.25" customHeight="1" x14ac:dyDescent="0.2">
      <c r="A219" s="161"/>
      <c r="B219" s="161"/>
      <c r="C219" s="161"/>
      <c r="D219" s="161"/>
      <c r="E219" s="161"/>
      <c r="F219" s="161"/>
      <c r="G219" s="161"/>
      <c r="H219" s="161"/>
      <c r="I219" s="161"/>
      <c r="J219" s="161"/>
      <c r="K219" s="161"/>
      <c r="L219" s="161"/>
      <c r="M219" s="161"/>
      <c r="N219" s="161"/>
      <c r="O219" s="161"/>
      <c r="P219" s="161"/>
      <c r="Q219" s="161"/>
      <c r="R219" s="161"/>
      <c r="S219" s="161"/>
      <c r="T219" s="161"/>
      <c r="U219" s="161"/>
      <c r="V219" s="161"/>
      <c r="W219" s="161"/>
      <c r="X219" s="161"/>
      <c r="Y219" s="161"/>
      <c r="Z219" s="161"/>
    </row>
    <row r="220" spans="1:26" ht="11.25" customHeight="1" x14ac:dyDescent="0.2">
      <c r="A220" s="161"/>
      <c r="B220" s="161"/>
      <c r="C220" s="161"/>
      <c r="D220" s="161"/>
      <c r="E220" s="161"/>
      <c r="F220" s="161"/>
      <c r="G220" s="161"/>
      <c r="H220" s="161"/>
      <c r="I220" s="161"/>
      <c r="J220" s="161"/>
      <c r="K220" s="161"/>
      <c r="L220" s="161"/>
      <c r="M220" s="161"/>
      <c r="N220" s="161"/>
      <c r="O220" s="161"/>
      <c r="P220" s="161"/>
      <c r="Q220" s="161"/>
      <c r="R220" s="161"/>
      <c r="S220" s="161"/>
      <c r="T220" s="161"/>
      <c r="U220" s="161"/>
      <c r="V220" s="161"/>
      <c r="W220" s="161"/>
      <c r="X220" s="161"/>
      <c r="Y220" s="161"/>
      <c r="Z220" s="161"/>
    </row>
    <row r="221" spans="1:26" ht="11.25" customHeight="1" x14ac:dyDescent="0.2">
      <c r="A221" s="161"/>
      <c r="B221" s="161"/>
      <c r="C221" s="161"/>
      <c r="D221" s="161"/>
      <c r="E221" s="161"/>
      <c r="F221" s="161"/>
      <c r="G221" s="161"/>
      <c r="H221" s="161"/>
      <c r="I221" s="161"/>
      <c r="J221" s="161"/>
      <c r="K221" s="161"/>
      <c r="L221" s="161"/>
      <c r="M221" s="161"/>
      <c r="N221" s="161"/>
      <c r="O221" s="161"/>
      <c r="P221" s="161"/>
      <c r="Q221" s="161"/>
      <c r="R221" s="161"/>
      <c r="S221" s="161"/>
      <c r="T221" s="161"/>
      <c r="U221" s="161"/>
      <c r="V221" s="161"/>
      <c r="W221" s="161"/>
      <c r="X221" s="161"/>
      <c r="Y221" s="161"/>
      <c r="Z221" s="161"/>
    </row>
    <row r="222" spans="1:26" ht="11.25" customHeight="1" x14ac:dyDescent="0.2">
      <c r="A222" s="161"/>
      <c r="B222" s="161"/>
      <c r="C222" s="161"/>
      <c r="D222" s="161"/>
      <c r="E222" s="161"/>
      <c r="F222" s="161"/>
      <c r="G222" s="161"/>
      <c r="H222" s="161"/>
      <c r="I222" s="161"/>
      <c r="J222" s="161"/>
      <c r="K222" s="161"/>
      <c r="L222" s="161"/>
      <c r="M222" s="161"/>
      <c r="N222" s="161"/>
      <c r="O222" s="161"/>
      <c r="P222" s="161"/>
      <c r="Q222" s="161"/>
      <c r="R222" s="161"/>
      <c r="S222" s="161"/>
      <c r="T222" s="161"/>
      <c r="U222" s="161"/>
      <c r="V222" s="161"/>
      <c r="W222" s="161"/>
      <c r="X222" s="161"/>
      <c r="Y222" s="161"/>
      <c r="Z222" s="161"/>
    </row>
    <row r="223" spans="1:26" ht="11.25" customHeight="1" x14ac:dyDescent="0.2">
      <c r="A223" s="161"/>
      <c r="B223" s="161"/>
      <c r="C223" s="161"/>
      <c r="D223" s="161"/>
      <c r="E223" s="161"/>
      <c r="F223" s="161"/>
      <c r="G223" s="161"/>
      <c r="H223" s="161"/>
      <c r="I223" s="161"/>
      <c r="J223" s="161"/>
      <c r="K223" s="161"/>
      <c r="L223" s="161"/>
      <c r="M223" s="161"/>
      <c r="N223" s="161"/>
      <c r="O223" s="161"/>
      <c r="P223" s="161"/>
      <c r="Q223" s="161"/>
      <c r="R223" s="161"/>
      <c r="S223" s="161"/>
      <c r="T223" s="161"/>
      <c r="U223" s="161"/>
      <c r="V223" s="161"/>
      <c r="W223" s="161"/>
      <c r="X223" s="161"/>
      <c r="Y223" s="161"/>
      <c r="Z223" s="161"/>
    </row>
    <row r="224" spans="1:26" ht="11.25" customHeight="1" x14ac:dyDescent="0.2">
      <c r="A224" s="161"/>
      <c r="B224" s="161"/>
      <c r="C224" s="161"/>
      <c r="D224" s="161"/>
      <c r="E224" s="161"/>
      <c r="F224" s="161"/>
      <c r="G224" s="161"/>
      <c r="H224" s="161"/>
      <c r="I224" s="161"/>
      <c r="J224" s="161"/>
      <c r="K224" s="161"/>
      <c r="L224" s="161"/>
      <c r="M224" s="161"/>
      <c r="N224" s="161"/>
      <c r="O224" s="161"/>
      <c r="P224" s="161"/>
      <c r="Q224" s="161"/>
      <c r="R224" s="161"/>
      <c r="S224" s="161"/>
      <c r="T224" s="161"/>
      <c r="U224" s="161"/>
      <c r="V224" s="161"/>
      <c r="W224" s="161"/>
      <c r="X224" s="161"/>
      <c r="Y224" s="161"/>
      <c r="Z224" s="161"/>
    </row>
    <row r="225" spans="1:26" ht="11.25" customHeight="1" x14ac:dyDescent="0.2">
      <c r="A225" s="161"/>
      <c r="B225" s="161"/>
      <c r="C225" s="161"/>
      <c r="D225" s="161"/>
      <c r="E225" s="161"/>
      <c r="F225" s="161"/>
      <c r="G225" s="161"/>
      <c r="H225" s="161"/>
      <c r="I225" s="161"/>
      <c r="J225" s="161"/>
      <c r="K225" s="161"/>
      <c r="L225" s="161"/>
      <c r="M225" s="161"/>
      <c r="N225" s="161"/>
      <c r="O225" s="161"/>
      <c r="P225" s="161"/>
      <c r="Q225" s="161"/>
      <c r="R225" s="161"/>
      <c r="S225" s="161"/>
      <c r="T225" s="161"/>
      <c r="U225" s="161"/>
      <c r="V225" s="161"/>
      <c r="W225" s="161"/>
      <c r="X225" s="161"/>
      <c r="Y225" s="161"/>
      <c r="Z225" s="161"/>
    </row>
    <row r="226" spans="1:26" ht="11.25" customHeight="1" x14ac:dyDescent="0.2">
      <c r="A226" s="161"/>
      <c r="B226" s="161"/>
      <c r="C226" s="161"/>
      <c r="D226" s="161"/>
      <c r="E226" s="161"/>
      <c r="F226" s="161"/>
      <c r="G226" s="161"/>
      <c r="H226" s="161"/>
      <c r="I226" s="161"/>
      <c r="J226" s="161"/>
      <c r="K226" s="161"/>
      <c r="L226" s="161"/>
      <c r="M226" s="161"/>
      <c r="N226" s="161"/>
      <c r="O226" s="161"/>
      <c r="P226" s="161"/>
      <c r="Q226" s="161"/>
      <c r="R226" s="161"/>
      <c r="S226" s="161"/>
      <c r="T226" s="161"/>
      <c r="U226" s="161"/>
      <c r="V226" s="161"/>
      <c r="W226" s="161"/>
      <c r="X226" s="161"/>
      <c r="Y226" s="161"/>
      <c r="Z226" s="161"/>
    </row>
    <row r="227" spans="1:26" ht="11.25" customHeight="1" x14ac:dyDescent="0.2">
      <c r="A227" s="161"/>
      <c r="B227" s="161"/>
      <c r="C227" s="161"/>
      <c r="D227" s="161"/>
      <c r="E227" s="161"/>
      <c r="F227" s="161"/>
      <c r="G227" s="161"/>
      <c r="H227" s="161"/>
      <c r="I227" s="161"/>
      <c r="J227" s="161"/>
      <c r="K227" s="161"/>
      <c r="L227" s="161"/>
      <c r="M227" s="161"/>
      <c r="N227" s="161"/>
      <c r="O227" s="161"/>
      <c r="P227" s="161"/>
      <c r="Q227" s="161"/>
      <c r="R227" s="161"/>
      <c r="S227" s="161"/>
      <c r="T227" s="161"/>
      <c r="U227" s="161"/>
      <c r="V227" s="161"/>
      <c r="W227" s="161"/>
      <c r="X227" s="161"/>
      <c r="Y227" s="161"/>
      <c r="Z227" s="161"/>
    </row>
    <row r="228" spans="1:26" ht="11.25" customHeight="1" x14ac:dyDescent="0.2">
      <c r="A228" s="161"/>
      <c r="B228" s="161"/>
      <c r="C228" s="161"/>
      <c r="D228" s="161"/>
      <c r="E228" s="161"/>
      <c r="F228" s="161"/>
      <c r="G228" s="161"/>
      <c r="H228" s="161"/>
      <c r="I228" s="161"/>
      <c r="J228" s="161"/>
      <c r="K228" s="161"/>
      <c r="L228" s="161"/>
      <c r="M228" s="161"/>
      <c r="N228" s="161"/>
      <c r="O228" s="161"/>
      <c r="P228" s="161"/>
      <c r="Q228" s="161"/>
      <c r="R228" s="161"/>
      <c r="S228" s="161"/>
      <c r="T228" s="161"/>
      <c r="U228" s="161"/>
      <c r="V228" s="161"/>
      <c r="W228" s="161"/>
      <c r="X228" s="161"/>
      <c r="Y228" s="161"/>
      <c r="Z228" s="161"/>
    </row>
    <row r="229" spans="1:26" ht="11.25" customHeight="1" x14ac:dyDescent="0.2">
      <c r="A229" s="161"/>
      <c r="B229" s="161"/>
      <c r="C229" s="161"/>
      <c r="D229" s="161"/>
      <c r="E229" s="161"/>
      <c r="F229" s="161"/>
      <c r="G229" s="161"/>
      <c r="H229" s="161"/>
      <c r="I229" s="161"/>
      <c r="J229" s="161"/>
      <c r="K229" s="161"/>
      <c r="L229" s="161"/>
      <c r="M229" s="161"/>
      <c r="N229" s="161"/>
      <c r="O229" s="161"/>
      <c r="P229" s="161"/>
      <c r="Q229" s="161"/>
      <c r="R229" s="161"/>
      <c r="S229" s="161"/>
      <c r="T229" s="161"/>
      <c r="U229" s="161"/>
      <c r="V229" s="161"/>
      <c r="W229" s="161"/>
      <c r="X229" s="161"/>
      <c r="Y229" s="161"/>
      <c r="Z229" s="161"/>
    </row>
    <row r="230" spans="1:26" ht="11.25" customHeight="1" x14ac:dyDescent="0.2">
      <c r="A230" s="161"/>
      <c r="B230" s="161"/>
      <c r="C230" s="161"/>
      <c r="D230" s="161"/>
      <c r="E230" s="161"/>
      <c r="F230" s="161"/>
      <c r="G230" s="161"/>
      <c r="H230" s="161"/>
      <c r="I230" s="161"/>
      <c r="J230" s="161"/>
      <c r="K230" s="161"/>
      <c r="L230" s="161"/>
      <c r="M230" s="161"/>
      <c r="N230" s="161"/>
      <c r="O230" s="161"/>
      <c r="P230" s="161"/>
      <c r="Q230" s="161"/>
      <c r="R230" s="161"/>
      <c r="S230" s="161"/>
      <c r="T230" s="161"/>
      <c r="U230" s="161"/>
      <c r="V230" s="161"/>
      <c r="W230" s="161"/>
      <c r="X230" s="161"/>
      <c r="Y230" s="161"/>
      <c r="Z230" s="161"/>
    </row>
    <row r="231" spans="1:26" ht="11.25" customHeight="1" x14ac:dyDescent="0.2">
      <c r="A231" s="161"/>
      <c r="B231" s="161"/>
      <c r="C231" s="161"/>
      <c r="D231" s="161"/>
      <c r="E231" s="161"/>
      <c r="F231" s="161"/>
      <c r="G231" s="161"/>
      <c r="H231" s="161"/>
      <c r="I231" s="161"/>
      <c r="J231" s="161"/>
      <c r="K231" s="161"/>
      <c r="L231" s="161"/>
      <c r="M231" s="161"/>
      <c r="N231" s="161"/>
      <c r="O231" s="161"/>
      <c r="P231" s="161"/>
      <c r="Q231" s="161"/>
      <c r="R231" s="161"/>
      <c r="S231" s="161"/>
      <c r="T231" s="161"/>
      <c r="U231" s="161"/>
      <c r="V231" s="161"/>
      <c r="W231" s="161"/>
      <c r="X231" s="161"/>
      <c r="Y231" s="161"/>
      <c r="Z231" s="161"/>
    </row>
    <row r="232" spans="1:26" ht="11.25" customHeight="1" x14ac:dyDescent="0.2">
      <c r="A232" s="161"/>
      <c r="B232" s="161"/>
      <c r="C232" s="161"/>
      <c r="D232" s="161"/>
      <c r="E232" s="161"/>
      <c r="F232" s="161"/>
      <c r="G232" s="161"/>
      <c r="H232" s="161"/>
      <c r="I232" s="161"/>
      <c r="J232" s="161"/>
      <c r="K232" s="161"/>
      <c r="L232" s="161"/>
      <c r="M232" s="161"/>
      <c r="N232" s="161"/>
      <c r="O232" s="161"/>
      <c r="P232" s="161"/>
      <c r="Q232" s="161"/>
      <c r="R232" s="161"/>
      <c r="S232" s="161"/>
      <c r="T232" s="161"/>
      <c r="U232" s="161"/>
      <c r="V232" s="161"/>
      <c r="W232" s="161"/>
      <c r="X232" s="161"/>
      <c r="Y232" s="161"/>
      <c r="Z232" s="161"/>
    </row>
    <row r="233" spans="1:26" ht="11.25" customHeight="1" x14ac:dyDescent="0.2">
      <c r="A233" s="161"/>
      <c r="B233" s="161"/>
      <c r="C233" s="161"/>
      <c r="D233" s="161"/>
      <c r="E233" s="161"/>
      <c r="F233" s="161"/>
      <c r="G233" s="161"/>
      <c r="H233" s="161"/>
      <c r="I233" s="161"/>
      <c r="J233" s="161"/>
      <c r="K233" s="161"/>
      <c r="L233" s="161"/>
      <c r="M233" s="161"/>
      <c r="N233" s="161"/>
      <c r="O233" s="161"/>
      <c r="P233" s="161"/>
      <c r="Q233" s="161"/>
      <c r="R233" s="161"/>
      <c r="S233" s="161"/>
      <c r="T233" s="161"/>
      <c r="U233" s="161"/>
      <c r="V233" s="161"/>
      <c r="W233" s="161"/>
      <c r="X233" s="161"/>
      <c r="Y233" s="161"/>
      <c r="Z233" s="161"/>
    </row>
    <row r="234" spans="1:26" ht="11.25" customHeight="1" x14ac:dyDescent="0.2">
      <c r="A234" s="161"/>
      <c r="B234" s="161"/>
      <c r="C234" s="161"/>
      <c r="D234" s="161"/>
      <c r="E234" s="161"/>
      <c r="F234" s="161"/>
      <c r="G234" s="161"/>
      <c r="H234" s="161"/>
      <c r="I234" s="161"/>
      <c r="J234" s="161"/>
      <c r="K234" s="161"/>
      <c r="L234" s="161"/>
      <c r="M234" s="161"/>
      <c r="N234" s="161"/>
      <c r="O234" s="161"/>
      <c r="P234" s="161"/>
      <c r="Q234" s="161"/>
      <c r="R234" s="161"/>
      <c r="S234" s="161"/>
      <c r="T234" s="161"/>
      <c r="U234" s="161"/>
      <c r="V234" s="161"/>
      <c r="W234" s="161"/>
      <c r="X234" s="161"/>
      <c r="Y234" s="161"/>
      <c r="Z234" s="161"/>
    </row>
    <row r="235" spans="1:26" ht="11.25" customHeight="1" x14ac:dyDescent="0.2">
      <c r="A235" s="161"/>
      <c r="B235" s="161"/>
      <c r="C235" s="161"/>
      <c r="D235" s="161"/>
      <c r="E235" s="161"/>
      <c r="F235" s="161"/>
      <c r="G235" s="161"/>
      <c r="H235" s="161"/>
      <c r="I235" s="161"/>
      <c r="J235" s="161"/>
      <c r="K235" s="161"/>
      <c r="L235" s="161"/>
      <c r="M235" s="161"/>
      <c r="N235" s="161"/>
      <c r="O235" s="161"/>
      <c r="P235" s="161"/>
      <c r="Q235" s="161"/>
      <c r="R235" s="161"/>
      <c r="S235" s="161"/>
      <c r="T235" s="161"/>
      <c r="U235" s="161"/>
      <c r="V235" s="161"/>
      <c r="W235" s="161"/>
      <c r="X235" s="161"/>
      <c r="Y235" s="161"/>
      <c r="Z235" s="161"/>
    </row>
    <row r="236" spans="1:26" ht="11.25" customHeight="1" x14ac:dyDescent="0.2">
      <c r="A236" s="161"/>
      <c r="B236" s="161"/>
      <c r="C236" s="161"/>
      <c r="D236" s="161"/>
      <c r="E236" s="161"/>
      <c r="F236" s="161"/>
      <c r="G236" s="161"/>
      <c r="H236" s="161"/>
      <c r="I236" s="161"/>
      <c r="J236" s="161"/>
      <c r="K236" s="161"/>
      <c r="L236" s="161"/>
      <c r="M236" s="161"/>
      <c r="N236" s="161"/>
      <c r="O236" s="161"/>
      <c r="P236" s="161"/>
      <c r="Q236" s="161"/>
      <c r="R236" s="161"/>
      <c r="S236" s="161"/>
      <c r="T236" s="161"/>
      <c r="U236" s="161"/>
      <c r="V236" s="161"/>
      <c r="W236" s="161"/>
      <c r="X236" s="161"/>
      <c r="Y236" s="161"/>
      <c r="Z236" s="161"/>
    </row>
    <row r="237" spans="1:26" ht="11.25" customHeight="1" x14ac:dyDescent="0.2">
      <c r="A237" s="161"/>
      <c r="B237" s="161"/>
      <c r="C237" s="161"/>
      <c r="D237" s="161"/>
      <c r="E237" s="161"/>
      <c r="F237" s="161"/>
      <c r="G237" s="161"/>
      <c r="H237" s="161"/>
      <c r="I237" s="161"/>
      <c r="J237" s="161"/>
      <c r="K237" s="161"/>
      <c r="L237" s="161"/>
      <c r="M237" s="161"/>
      <c r="N237" s="161"/>
      <c r="O237" s="161"/>
      <c r="P237" s="161"/>
      <c r="Q237" s="161"/>
      <c r="R237" s="161"/>
      <c r="S237" s="161"/>
      <c r="T237" s="161"/>
      <c r="U237" s="161"/>
      <c r="V237" s="161"/>
      <c r="W237" s="161"/>
      <c r="X237" s="161"/>
      <c r="Y237" s="161"/>
      <c r="Z237" s="161"/>
    </row>
    <row r="238" spans="1:26" ht="11.25" customHeight="1" x14ac:dyDescent="0.2">
      <c r="A238" s="161"/>
      <c r="B238" s="161"/>
      <c r="C238" s="161"/>
      <c r="D238" s="161"/>
      <c r="E238" s="161"/>
      <c r="F238" s="161"/>
      <c r="G238" s="161"/>
      <c r="H238" s="161"/>
      <c r="I238" s="161"/>
      <c r="J238" s="161"/>
      <c r="K238" s="161"/>
      <c r="L238" s="161"/>
      <c r="M238" s="161"/>
      <c r="N238" s="161"/>
      <c r="O238" s="161"/>
      <c r="P238" s="161"/>
      <c r="Q238" s="161"/>
      <c r="R238" s="161"/>
      <c r="S238" s="161"/>
      <c r="T238" s="161"/>
      <c r="U238" s="161"/>
      <c r="V238" s="161"/>
      <c r="W238" s="161"/>
      <c r="X238" s="161"/>
      <c r="Y238" s="161"/>
      <c r="Z238" s="161"/>
    </row>
    <row r="239" spans="1:26" ht="11.25" customHeight="1" x14ac:dyDescent="0.2">
      <c r="A239" s="161"/>
      <c r="B239" s="161"/>
      <c r="C239" s="161"/>
      <c r="D239" s="161"/>
      <c r="E239" s="161"/>
      <c r="F239" s="161"/>
      <c r="G239" s="161"/>
      <c r="H239" s="161"/>
      <c r="I239" s="161"/>
      <c r="J239" s="161"/>
      <c r="K239" s="161"/>
      <c r="L239" s="161"/>
      <c r="M239" s="161"/>
      <c r="N239" s="161"/>
      <c r="O239" s="161"/>
      <c r="P239" s="161"/>
      <c r="Q239" s="161"/>
      <c r="R239" s="161"/>
      <c r="S239" s="161"/>
      <c r="T239" s="161"/>
      <c r="U239" s="161"/>
      <c r="V239" s="161"/>
      <c r="W239" s="161"/>
      <c r="X239" s="161"/>
      <c r="Y239" s="161"/>
      <c r="Z239" s="161"/>
    </row>
    <row r="240" spans="1:26" ht="11.25" customHeight="1" x14ac:dyDescent="0.2">
      <c r="A240" s="161"/>
      <c r="B240" s="161"/>
      <c r="C240" s="161"/>
      <c r="D240" s="161"/>
      <c r="E240" s="161"/>
      <c r="F240" s="161"/>
      <c r="G240" s="161"/>
      <c r="H240" s="161"/>
      <c r="I240" s="161"/>
      <c r="J240" s="161"/>
      <c r="K240" s="161"/>
      <c r="L240" s="161"/>
      <c r="M240" s="161"/>
      <c r="N240" s="161"/>
      <c r="O240" s="161"/>
      <c r="P240" s="161"/>
      <c r="Q240" s="161"/>
      <c r="R240" s="161"/>
      <c r="S240" s="161"/>
      <c r="T240" s="161"/>
      <c r="U240" s="161"/>
      <c r="V240" s="161"/>
      <c r="W240" s="161"/>
      <c r="X240" s="161"/>
      <c r="Y240" s="161"/>
      <c r="Z240" s="161"/>
    </row>
    <row r="241" spans="1:26" ht="11.25" customHeight="1" x14ac:dyDescent="0.2">
      <c r="A241" s="161"/>
      <c r="B241" s="161"/>
      <c r="C241" s="161"/>
      <c r="D241" s="161"/>
      <c r="E241" s="161"/>
      <c r="F241" s="161"/>
      <c r="G241" s="161"/>
      <c r="H241" s="161"/>
      <c r="I241" s="161"/>
      <c r="J241" s="161"/>
      <c r="K241" s="161"/>
      <c r="L241" s="161"/>
      <c r="M241" s="161"/>
      <c r="N241" s="161"/>
      <c r="O241" s="161"/>
      <c r="P241" s="161"/>
      <c r="Q241" s="161"/>
      <c r="R241" s="161"/>
      <c r="S241" s="161"/>
      <c r="T241" s="161"/>
      <c r="U241" s="161"/>
      <c r="V241" s="161"/>
      <c r="W241" s="161"/>
      <c r="X241" s="161"/>
      <c r="Y241" s="161"/>
      <c r="Z241" s="161"/>
    </row>
    <row r="242" spans="1:26" ht="11.25" customHeight="1" x14ac:dyDescent="0.2">
      <c r="A242" s="161"/>
      <c r="B242" s="161"/>
      <c r="C242" s="161"/>
      <c r="D242" s="161"/>
      <c r="E242" s="161"/>
      <c r="F242" s="161"/>
      <c r="G242" s="161"/>
      <c r="H242" s="161"/>
      <c r="I242" s="161"/>
      <c r="J242" s="161"/>
      <c r="K242" s="161"/>
      <c r="L242" s="161"/>
      <c r="M242" s="161"/>
      <c r="N242" s="161"/>
      <c r="O242" s="161"/>
      <c r="P242" s="161"/>
      <c r="Q242" s="161"/>
      <c r="R242" s="161"/>
      <c r="S242" s="161"/>
      <c r="T242" s="161"/>
      <c r="U242" s="161"/>
      <c r="V242" s="161"/>
      <c r="W242" s="161"/>
      <c r="X242" s="161"/>
      <c r="Y242" s="161"/>
      <c r="Z242" s="161"/>
    </row>
    <row r="243" spans="1:26" ht="11.25" customHeight="1" x14ac:dyDescent="0.2">
      <c r="A243" s="161"/>
      <c r="B243" s="161"/>
      <c r="C243" s="161"/>
      <c r="D243" s="161"/>
      <c r="E243" s="161"/>
      <c r="F243" s="161"/>
      <c r="G243" s="161"/>
      <c r="H243" s="161"/>
      <c r="I243" s="161"/>
      <c r="J243" s="161"/>
      <c r="K243" s="161"/>
      <c r="L243" s="161"/>
      <c r="M243" s="161"/>
      <c r="N243" s="161"/>
      <c r="O243" s="161"/>
      <c r="P243" s="161"/>
      <c r="Q243" s="161"/>
      <c r="R243" s="161"/>
      <c r="S243" s="161"/>
      <c r="T243" s="161"/>
      <c r="U243" s="161"/>
      <c r="V243" s="161"/>
      <c r="W243" s="161"/>
      <c r="X243" s="161"/>
      <c r="Y243" s="161"/>
      <c r="Z243" s="161"/>
    </row>
    <row r="244" spans="1:26" ht="11.25" customHeight="1" x14ac:dyDescent="0.2">
      <c r="A244" s="161"/>
      <c r="B244" s="161"/>
      <c r="C244" s="161"/>
      <c r="D244" s="161"/>
      <c r="E244" s="161"/>
      <c r="F244" s="161"/>
      <c r="G244" s="161"/>
      <c r="H244" s="161"/>
      <c r="I244" s="161"/>
      <c r="J244" s="161"/>
      <c r="K244" s="161"/>
      <c r="L244" s="161"/>
      <c r="M244" s="161"/>
      <c r="N244" s="161"/>
      <c r="O244" s="161"/>
      <c r="P244" s="161"/>
      <c r="Q244" s="161"/>
      <c r="R244" s="161"/>
      <c r="S244" s="161"/>
      <c r="T244" s="161"/>
      <c r="U244" s="161"/>
      <c r="V244" s="161"/>
      <c r="W244" s="161"/>
      <c r="X244" s="161"/>
      <c r="Y244" s="161"/>
      <c r="Z244" s="161"/>
    </row>
    <row r="245" spans="1:26" ht="11.25" customHeight="1" x14ac:dyDescent="0.2">
      <c r="A245" s="161"/>
      <c r="B245" s="161"/>
      <c r="C245" s="161"/>
      <c r="D245" s="161"/>
      <c r="E245" s="161"/>
      <c r="F245" s="161"/>
      <c r="G245" s="161"/>
      <c r="H245" s="161"/>
      <c r="I245" s="161"/>
      <c r="J245" s="161"/>
      <c r="K245" s="161"/>
      <c r="L245" s="161"/>
      <c r="M245" s="161"/>
      <c r="N245" s="161"/>
      <c r="O245" s="161"/>
      <c r="P245" s="161"/>
      <c r="Q245" s="161"/>
      <c r="R245" s="161"/>
      <c r="S245" s="161"/>
      <c r="T245" s="161"/>
      <c r="U245" s="161"/>
      <c r="V245" s="161"/>
      <c r="W245" s="161"/>
      <c r="X245" s="161"/>
      <c r="Y245" s="161"/>
      <c r="Z245" s="161"/>
    </row>
    <row r="246" spans="1:26" ht="11.25" customHeight="1" x14ac:dyDescent="0.2">
      <c r="A246" s="161"/>
      <c r="B246" s="161"/>
      <c r="C246" s="161"/>
      <c r="D246" s="161"/>
      <c r="E246" s="161"/>
      <c r="F246" s="161"/>
      <c r="G246" s="161"/>
      <c r="H246" s="161"/>
      <c r="I246" s="161"/>
      <c r="J246" s="161"/>
      <c r="K246" s="161"/>
      <c r="L246" s="161"/>
      <c r="M246" s="161"/>
      <c r="N246" s="161"/>
      <c r="O246" s="161"/>
      <c r="P246" s="161"/>
      <c r="Q246" s="161"/>
      <c r="R246" s="161"/>
      <c r="S246" s="161"/>
      <c r="T246" s="161"/>
      <c r="U246" s="161"/>
      <c r="V246" s="161"/>
      <c r="W246" s="161"/>
      <c r="X246" s="161"/>
      <c r="Y246" s="161"/>
      <c r="Z246" s="161"/>
    </row>
    <row r="247" spans="1:26" ht="11.25" customHeight="1" x14ac:dyDescent="0.2">
      <c r="A247" s="161"/>
      <c r="B247" s="161"/>
      <c r="C247" s="161"/>
      <c r="D247" s="161"/>
      <c r="E247" s="161"/>
      <c r="F247" s="161"/>
      <c r="G247" s="161"/>
      <c r="H247" s="161"/>
      <c r="I247" s="161"/>
      <c r="J247" s="161"/>
      <c r="K247" s="161"/>
      <c r="L247" s="161"/>
      <c r="M247" s="161"/>
      <c r="N247" s="161"/>
      <c r="O247" s="161"/>
      <c r="P247" s="161"/>
      <c r="Q247" s="161"/>
      <c r="R247" s="161"/>
      <c r="S247" s="161"/>
      <c r="T247" s="161"/>
      <c r="U247" s="161"/>
      <c r="V247" s="161"/>
      <c r="W247" s="161"/>
      <c r="X247" s="161"/>
      <c r="Y247" s="161"/>
      <c r="Z247" s="161"/>
    </row>
    <row r="248" spans="1:26" ht="11.25" customHeight="1" x14ac:dyDescent="0.2">
      <c r="A248" s="161"/>
      <c r="B248" s="161"/>
      <c r="C248" s="161"/>
      <c r="D248" s="161"/>
      <c r="E248" s="161"/>
      <c r="F248" s="161"/>
      <c r="G248" s="161"/>
      <c r="H248" s="161"/>
      <c r="I248" s="161"/>
      <c r="J248" s="161"/>
      <c r="K248" s="161"/>
      <c r="L248" s="161"/>
      <c r="M248" s="161"/>
      <c r="N248" s="161"/>
      <c r="O248" s="161"/>
      <c r="P248" s="161"/>
      <c r="Q248" s="161"/>
      <c r="R248" s="161"/>
      <c r="S248" s="161"/>
      <c r="T248" s="161"/>
      <c r="U248" s="161"/>
      <c r="V248" s="161"/>
      <c r="W248" s="161"/>
      <c r="X248" s="161"/>
      <c r="Y248" s="161"/>
      <c r="Z248" s="161"/>
    </row>
    <row r="249" spans="1:26" ht="11.25" customHeight="1" x14ac:dyDescent="0.2">
      <c r="A249" s="161"/>
      <c r="B249" s="161"/>
      <c r="C249" s="161"/>
      <c r="D249" s="161"/>
      <c r="E249" s="161"/>
      <c r="F249" s="161"/>
      <c r="G249" s="161"/>
      <c r="H249" s="161"/>
      <c r="I249" s="161"/>
      <c r="J249" s="161"/>
      <c r="K249" s="161"/>
      <c r="L249" s="161"/>
      <c r="M249" s="161"/>
      <c r="N249" s="161"/>
      <c r="O249" s="161"/>
      <c r="P249" s="161"/>
      <c r="Q249" s="161"/>
      <c r="R249" s="161"/>
      <c r="S249" s="161"/>
      <c r="T249" s="161"/>
      <c r="U249" s="161"/>
      <c r="V249" s="161"/>
      <c r="W249" s="161"/>
      <c r="X249" s="161"/>
      <c r="Y249" s="161"/>
      <c r="Z249" s="161"/>
    </row>
    <row r="250" spans="1:26" ht="11.25" customHeight="1" x14ac:dyDescent="0.2">
      <c r="A250" s="161"/>
      <c r="B250" s="161"/>
      <c r="C250" s="161"/>
      <c r="D250" s="161"/>
      <c r="E250" s="161"/>
      <c r="F250" s="161"/>
      <c r="G250" s="161"/>
      <c r="H250" s="161"/>
      <c r="I250" s="161"/>
      <c r="J250" s="161"/>
      <c r="K250" s="161"/>
      <c r="L250" s="161"/>
      <c r="M250" s="161"/>
      <c r="N250" s="161"/>
      <c r="O250" s="161"/>
      <c r="P250" s="161"/>
      <c r="Q250" s="161"/>
      <c r="R250" s="161"/>
      <c r="S250" s="161"/>
      <c r="T250" s="161"/>
      <c r="U250" s="161"/>
      <c r="V250" s="161"/>
      <c r="W250" s="161"/>
      <c r="X250" s="161"/>
      <c r="Y250" s="161"/>
      <c r="Z250" s="161"/>
    </row>
    <row r="251" spans="1:26" ht="11.25" customHeight="1" x14ac:dyDescent="0.2">
      <c r="A251" s="161"/>
      <c r="B251" s="161"/>
      <c r="C251" s="161"/>
      <c r="D251" s="161"/>
      <c r="E251" s="161"/>
      <c r="F251" s="161"/>
      <c r="G251" s="161"/>
      <c r="H251" s="161"/>
      <c r="I251" s="161"/>
      <c r="J251" s="161"/>
      <c r="K251" s="161"/>
      <c r="L251" s="161"/>
      <c r="M251" s="161"/>
      <c r="N251" s="161"/>
      <c r="O251" s="161"/>
      <c r="P251" s="161"/>
      <c r="Q251" s="161"/>
      <c r="R251" s="161"/>
      <c r="S251" s="161"/>
      <c r="T251" s="161"/>
      <c r="U251" s="161"/>
      <c r="V251" s="161"/>
      <c r="W251" s="161"/>
      <c r="X251" s="161"/>
      <c r="Y251" s="161"/>
      <c r="Z251" s="161"/>
    </row>
    <row r="252" spans="1:26" ht="11.25" customHeight="1" x14ac:dyDescent="0.2">
      <c r="A252" s="161"/>
      <c r="B252" s="161"/>
      <c r="C252" s="161"/>
      <c r="D252" s="161"/>
      <c r="E252" s="161"/>
      <c r="F252" s="161"/>
      <c r="G252" s="161"/>
      <c r="H252" s="161"/>
      <c r="I252" s="161"/>
      <c r="J252" s="161"/>
      <c r="K252" s="161"/>
      <c r="L252" s="161"/>
      <c r="M252" s="161"/>
      <c r="N252" s="161"/>
      <c r="O252" s="161"/>
      <c r="P252" s="161"/>
      <c r="Q252" s="161"/>
      <c r="R252" s="161"/>
      <c r="S252" s="161"/>
      <c r="T252" s="161"/>
      <c r="U252" s="161"/>
      <c r="V252" s="161"/>
      <c r="W252" s="161"/>
      <c r="X252" s="161"/>
      <c r="Y252" s="161"/>
      <c r="Z252" s="161"/>
    </row>
    <row r="253" spans="1:26" ht="11.25" customHeight="1" x14ac:dyDescent="0.2">
      <c r="A253" s="161"/>
      <c r="B253" s="161"/>
      <c r="C253" s="161"/>
      <c r="D253" s="161"/>
      <c r="E253" s="161"/>
      <c r="F253" s="161"/>
      <c r="G253" s="161"/>
      <c r="H253" s="161"/>
      <c r="I253" s="161"/>
      <c r="J253" s="161"/>
      <c r="K253" s="161"/>
      <c r="L253" s="161"/>
      <c r="M253" s="161"/>
      <c r="N253" s="161"/>
      <c r="O253" s="161"/>
      <c r="P253" s="161"/>
      <c r="Q253" s="161"/>
      <c r="R253" s="161"/>
      <c r="S253" s="161"/>
      <c r="T253" s="161"/>
      <c r="U253" s="161"/>
      <c r="V253" s="161"/>
      <c r="W253" s="161"/>
      <c r="X253" s="161"/>
      <c r="Y253" s="161"/>
      <c r="Z253" s="161"/>
    </row>
    <row r="254" spans="1:26" ht="11.25" customHeight="1" x14ac:dyDescent="0.2">
      <c r="A254" s="161"/>
      <c r="B254" s="161"/>
      <c r="C254" s="161"/>
      <c r="D254" s="161"/>
      <c r="E254" s="161"/>
      <c r="F254" s="161"/>
      <c r="G254" s="161"/>
      <c r="H254" s="161"/>
      <c r="I254" s="161"/>
      <c r="J254" s="161"/>
      <c r="K254" s="161"/>
      <c r="L254" s="161"/>
      <c r="M254" s="161"/>
      <c r="N254" s="161"/>
      <c r="O254" s="161"/>
      <c r="P254" s="161"/>
      <c r="Q254" s="161"/>
      <c r="R254" s="161"/>
      <c r="S254" s="161"/>
      <c r="T254" s="161"/>
      <c r="U254" s="161"/>
      <c r="V254" s="161"/>
      <c r="W254" s="161"/>
      <c r="X254" s="161"/>
      <c r="Y254" s="161"/>
      <c r="Z254" s="161"/>
    </row>
    <row r="255" spans="1:26" ht="11.25" customHeight="1" x14ac:dyDescent="0.2">
      <c r="A255" s="161"/>
      <c r="B255" s="161"/>
      <c r="C255" s="161"/>
      <c r="D255" s="161"/>
      <c r="E255" s="161"/>
      <c r="F255" s="161"/>
      <c r="G255" s="161"/>
      <c r="H255" s="161"/>
      <c r="I255" s="161"/>
      <c r="J255" s="161"/>
      <c r="K255" s="161"/>
      <c r="L255" s="161"/>
      <c r="M255" s="161"/>
      <c r="N255" s="161"/>
      <c r="O255" s="161"/>
      <c r="P255" s="161"/>
      <c r="Q255" s="161"/>
      <c r="R255" s="161"/>
      <c r="S255" s="161"/>
      <c r="T255" s="161"/>
      <c r="U255" s="161"/>
      <c r="V255" s="161"/>
      <c r="W255" s="161"/>
      <c r="X255" s="161"/>
      <c r="Y255" s="161"/>
      <c r="Z255" s="161"/>
    </row>
    <row r="256" spans="1:26" ht="11.25" customHeight="1" x14ac:dyDescent="0.2">
      <c r="A256" s="161"/>
      <c r="B256" s="161"/>
      <c r="C256" s="161"/>
      <c r="D256" s="161"/>
      <c r="E256" s="161"/>
      <c r="F256" s="161"/>
      <c r="G256" s="161"/>
      <c r="H256" s="161"/>
      <c r="I256" s="161"/>
      <c r="J256" s="161"/>
      <c r="K256" s="161"/>
      <c r="L256" s="161"/>
      <c r="M256" s="161"/>
      <c r="N256" s="161"/>
      <c r="O256" s="161"/>
      <c r="P256" s="161"/>
      <c r="Q256" s="161"/>
      <c r="R256" s="161"/>
      <c r="S256" s="161"/>
      <c r="T256" s="161"/>
      <c r="U256" s="161"/>
      <c r="V256" s="161"/>
      <c r="W256" s="161"/>
      <c r="X256" s="161"/>
      <c r="Y256" s="161"/>
      <c r="Z256" s="161"/>
    </row>
    <row r="257" spans="1:26" ht="11.25" customHeight="1" x14ac:dyDescent="0.2">
      <c r="A257" s="161"/>
      <c r="B257" s="161"/>
      <c r="C257" s="161"/>
      <c r="D257" s="161"/>
      <c r="E257" s="161"/>
      <c r="F257" s="161"/>
      <c r="G257" s="161"/>
      <c r="H257" s="161"/>
      <c r="I257" s="161"/>
      <c r="J257" s="161"/>
      <c r="K257" s="161"/>
      <c r="L257" s="161"/>
      <c r="M257" s="161"/>
      <c r="N257" s="161"/>
      <c r="O257" s="161"/>
      <c r="P257" s="161"/>
      <c r="Q257" s="161"/>
      <c r="R257" s="161"/>
      <c r="S257" s="161"/>
      <c r="T257" s="161"/>
      <c r="U257" s="161"/>
      <c r="V257" s="161"/>
      <c r="W257" s="161"/>
      <c r="X257" s="161"/>
      <c r="Y257" s="161"/>
      <c r="Z257" s="161"/>
    </row>
    <row r="258" spans="1:26" ht="11.25" customHeight="1" x14ac:dyDescent="0.2">
      <c r="A258" s="161"/>
      <c r="B258" s="161"/>
      <c r="C258" s="161"/>
      <c r="D258" s="161"/>
      <c r="E258" s="161"/>
      <c r="F258" s="161"/>
      <c r="G258" s="161"/>
      <c r="H258" s="161"/>
      <c r="I258" s="161"/>
      <c r="J258" s="161"/>
      <c r="K258" s="161"/>
      <c r="L258" s="161"/>
      <c r="M258" s="161"/>
      <c r="N258" s="161"/>
      <c r="O258" s="161"/>
      <c r="P258" s="161"/>
      <c r="Q258" s="161"/>
      <c r="R258" s="161"/>
      <c r="S258" s="161"/>
      <c r="T258" s="161"/>
      <c r="U258" s="161"/>
      <c r="V258" s="161"/>
      <c r="W258" s="161"/>
      <c r="X258" s="161"/>
      <c r="Y258" s="161"/>
      <c r="Z258" s="161"/>
    </row>
    <row r="259" spans="1:26" ht="11.25" customHeight="1" x14ac:dyDescent="0.2">
      <c r="A259" s="161"/>
      <c r="B259" s="161"/>
      <c r="C259" s="161"/>
      <c r="D259" s="161"/>
      <c r="E259" s="161"/>
      <c r="F259" s="161"/>
      <c r="G259" s="161"/>
      <c r="H259" s="161"/>
      <c r="I259" s="161"/>
      <c r="J259" s="161"/>
      <c r="K259" s="161"/>
      <c r="L259" s="161"/>
      <c r="M259" s="161"/>
      <c r="N259" s="161"/>
      <c r="O259" s="161"/>
      <c r="P259" s="161"/>
      <c r="Q259" s="161"/>
      <c r="R259" s="161"/>
      <c r="S259" s="161"/>
      <c r="T259" s="161"/>
      <c r="U259" s="161"/>
      <c r="V259" s="161"/>
      <c r="W259" s="161"/>
      <c r="X259" s="161"/>
      <c r="Y259" s="161"/>
      <c r="Z259" s="161"/>
    </row>
    <row r="260" spans="1:26" ht="11.25" customHeight="1" x14ac:dyDescent="0.2">
      <c r="A260" s="161"/>
      <c r="B260" s="161"/>
      <c r="C260" s="161"/>
      <c r="D260" s="161"/>
      <c r="E260" s="161"/>
      <c r="F260" s="161"/>
      <c r="G260" s="161"/>
      <c r="H260" s="161"/>
      <c r="I260" s="161"/>
      <c r="J260" s="161"/>
      <c r="K260" s="161"/>
      <c r="L260" s="161"/>
      <c r="M260" s="161"/>
      <c r="N260" s="161"/>
      <c r="O260" s="161"/>
      <c r="P260" s="161"/>
      <c r="Q260" s="161"/>
      <c r="R260" s="161"/>
      <c r="S260" s="161"/>
      <c r="T260" s="161"/>
      <c r="U260" s="161"/>
      <c r="V260" s="161"/>
      <c r="W260" s="161"/>
      <c r="X260" s="161"/>
      <c r="Y260" s="161"/>
      <c r="Z260" s="161"/>
    </row>
    <row r="261" spans="1:26" ht="11.25" customHeight="1" x14ac:dyDescent="0.2">
      <c r="A261" s="161"/>
      <c r="B261" s="161"/>
      <c r="C261" s="161"/>
      <c r="D261" s="161"/>
      <c r="E261" s="161"/>
      <c r="F261" s="161"/>
      <c r="G261" s="161"/>
      <c r="H261" s="161"/>
      <c r="I261" s="161"/>
      <c r="J261" s="161"/>
      <c r="K261" s="161"/>
      <c r="L261" s="161"/>
      <c r="M261" s="161"/>
      <c r="N261" s="161"/>
      <c r="O261" s="161"/>
      <c r="P261" s="161"/>
      <c r="Q261" s="161"/>
      <c r="R261" s="161"/>
      <c r="S261" s="161"/>
      <c r="T261" s="161"/>
      <c r="U261" s="161"/>
      <c r="V261" s="161"/>
      <c r="W261" s="161"/>
      <c r="X261" s="161"/>
      <c r="Y261" s="161"/>
      <c r="Z261" s="161"/>
    </row>
    <row r="262" spans="1:26" ht="11.25" customHeight="1" x14ac:dyDescent="0.2">
      <c r="A262" s="161"/>
      <c r="B262" s="161"/>
      <c r="C262" s="161"/>
      <c r="D262" s="161"/>
      <c r="E262" s="161"/>
      <c r="F262" s="161"/>
      <c r="G262" s="161"/>
      <c r="H262" s="161"/>
      <c r="I262" s="161"/>
      <c r="J262" s="161"/>
      <c r="K262" s="161"/>
      <c r="L262" s="161"/>
      <c r="M262" s="161"/>
      <c r="N262" s="161"/>
      <c r="O262" s="161"/>
      <c r="P262" s="161"/>
      <c r="Q262" s="161"/>
      <c r="R262" s="161"/>
      <c r="S262" s="161"/>
      <c r="T262" s="161"/>
      <c r="U262" s="161"/>
      <c r="V262" s="161"/>
      <c r="W262" s="161"/>
      <c r="X262" s="161"/>
      <c r="Y262" s="161"/>
      <c r="Z262" s="161"/>
    </row>
    <row r="263" spans="1:26" ht="11.25" customHeight="1" x14ac:dyDescent="0.2">
      <c r="A263" s="161"/>
      <c r="B263" s="161"/>
      <c r="C263" s="161"/>
      <c r="D263" s="161"/>
      <c r="E263" s="161"/>
      <c r="F263" s="161"/>
      <c r="G263" s="161"/>
      <c r="H263" s="161"/>
      <c r="I263" s="161"/>
      <c r="J263" s="161"/>
      <c r="K263" s="161"/>
      <c r="L263" s="161"/>
      <c r="M263" s="161"/>
      <c r="N263" s="161"/>
      <c r="O263" s="161"/>
      <c r="P263" s="161"/>
      <c r="Q263" s="161"/>
      <c r="R263" s="161"/>
      <c r="S263" s="161"/>
      <c r="T263" s="161"/>
      <c r="U263" s="161"/>
      <c r="V263" s="161"/>
      <c r="W263" s="161"/>
      <c r="X263" s="161"/>
      <c r="Y263" s="161"/>
      <c r="Z263" s="161"/>
    </row>
    <row r="264" spans="1:26" ht="11.25" customHeight="1" x14ac:dyDescent="0.2">
      <c r="A264" s="161"/>
      <c r="B264" s="161"/>
      <c r="C264" s="161"/>
      <c r="D264" s="161"/>
      <c r="E264" s="161"/>
      <c r="F264" s="161"/>
      <c r="G264" s="161"/>
      <c r="H264" s="161"/>
      <c r="I264" s="161"/>
      <c r="J264" s="161"/>
      <c r="K264" s="161"/>
      <c r="L264" s="161"/>
      <c r="M264" s="161"/>
      <c r="N264" s="161"/>
      <c r="O264" s="161"/>
      <c r="P264" s="161"/>
      <c r="Q264" s="161"/>
      <c r="R264" s="161"/>
      <c r="S264" s="161"/>
      <c r="T264" s="161"/>
      <c r="U264" s="161"/>
      <c r="V264" s="161"/>
      <c r="W264" s="161"/>
      <c r="X264" s="161"/>
      <c r="Y264" s="161"/>
      <c r="Z264" s="161"/>
    </row>
    <row r="265" spans="1:26" ht="11.25" customHeight="1" x14ac:dyDescent="0.2">
      <c r="A265" s="161"/>
      <c r="B265" s="161"/>
      <c r="C265" s="161"/>
      <c r="D265" s="161"/>
      <c r="E265" s="161"/>
      <c r="F265" s="161"/>
      <c r="G265" s="161"/>
      <c r="H265" s="161"/>
      <c r="I265" s="161"/>
      <c r="J265" s="161"/>
      <c r="K265" s="161"/>
      <c r="L265" s="161"/>
      <c r="M265" s="161"/>
      <c r="N265" s="161"/>
      <c r="O265" s="161"/>
      <c r="P265" s="161"/>
      <c r="Q265" s="161"/>
      <c r="R265" s="161"/>
      <c r="S265" s="161"/>
      <c r="T265" s="161"/>
      <c r="U265" s="161"/>
      <c r="V265" s="161"/>
      <c r="W265" s="161"/>
      <c r="X265" s="161"/>
      <c r="Y265" s="161"/>
      <c r="Z265" s="161"/>
    </row>
    <row r="266" spans="1:26" ht="11.25" customHeight="1" x14ac:dyDescent="0.2">
      <c r="A266" s="161"/>
      <c r="B266" s="161"/>
      <c r="C266" s="161"/>
      <c r="D266" s="161"/>
      <c r="E266" s="161"/>
      <c r="F266" s="161"/>
      <c r="G266" s="161"/>
      <c r="H266" s="161"/>
      <c r="I266" s="161"/>
      <c r="J266" s="161"/>
      <c r="K266" s="161"/>
      <c r="L266" s="161"/>
      <c r="M266" s="161"/>
      <c r="N266" s="161"/>
      <c r="O266" s="161"/>
      <c r="P266" s="161"/>
      <c r="Q266" s="161"/>
      <c r="R266" s="161"/>
      <c r="S266" s="161"/>
      <c r="T266" s="161"/>
      <c r="U266" s="161"/>
      <c r="V266" s="161"/>
      <c r="W266" s="161"/>
      <c r="X266" s="161"/>
      <c r="Y266" s="161"/>
      <c r="Z266" s="161"/>
    </row>
    <row r="267" spans="1:26" ht="11.25" customHeight="1" x14ac:dyDescent="0.2">
      <c r="A267" s="161"/>
      <c r="B267" s="161"/>
      <c r="C267" s="161"/>
      <c r="D267" s="161"/>
      <c r="E267" s="161"/>
      <c r="F267" s="161"/>
      <c r="G267" s="161"/>
      <c r="H267" s="161"/>
      <c r="I267" s="161"/>
      <c r="J267" s="161"/>
      <c r="K267" s="161"/>
      <c r="L267" s="161"/>
      <c r="M267" s="161"/>
      <c r="N267" s="161"/>
      <c r="O267" s="161"/>
      <c r="P267" s="161"/>
      <c r="Q267" s="161"/>
      <c r="R267" s="161"/>
      <c r="S267" s="161"/>
      <c r="T267" s="161"/>
      <c r="U267" s="161"/>
      <c r="V267" s="161"/>
      <c r="W267" s="161"/>
      <c r="X267" s="161"/>
      <c r="Y267" s="161"/>
      <c r="Z267" s="161"/>
    </row>
    <row r="268" spans="1:26" ht="11.25" customHeight="1" x14ac:dyDescent="0.2">
      <c r="A268" s="161"/>
      <c r="B268" s="161"/>
      <c r="C268" s="161"/>
      <c r="D268" s="161"/>
      <c r="E268" s="161"/>
      <c r="F268" s="161"/>
      <c r="G268" s="161"/>
      <c r="H268" s="161"/>
      <c r="I268" s="161"/>
      <c r="J268" s="161"/>
      <c r="K268" s="161"/>
      <c r="L268" s="161"/>
      <c r="M268" s="161"/>
      <c r="N268" s="161"/>
      <c r="O268" s="161"/>
      <c r="P268" s="161"/>
      <c r="Q268" s="161"/>
      <c r="R268" s="161"/>
      <c r="S268" s="161"/>
      <c r="T268" s="161"/>
      <c r="U268" s="161"/>
      <c r="V268" s="161"/>
      <c r="W268" s="161"/>
      <c r="X268" s="161"/>
      <c r="Y268" s="161"/>
      <c r="Z268" s="161"/>
    </row>
    <row r="269" spans="1:26" ht="11.25" customHeight="1" x14ac:dyDescent="0.2">
      <c r="A269" s="161"/>
      <c r="B269" s="161"/>
      <c r="C269" s="161"/>
      <c r="D269" s="161"/>
      <c r="E269" s="161"/>
      <c r="F269" s="161"/>
      <c r="G269" s="161"/>
      <c r="H269" s="161"/>
      <c r="I269" s="161"/>
      <c r="J269" s="161"/>
      <c r="K269" s="161"/>
      <c r="L269" s="161"/>
      <c r="M269" s="161"/>
      <c r="N269" s="161"/>
      <c r="O269" s="161"/>
      <c r="P269" s="161"/>
      <c r="Q269" s="161"/>
      <c r="R269" s="161"/>
      <c r="S269" s="161"/>
      <c r="T269" s="161"/>
      <c r="U269" s="161"/>
      <c r="V269" s="161"/>
      <c r="W269" s="161"/>
      <c r="X269" s="161"/>
      <c r="Y269" s="161"/>
      <c r="Z269" s="161"/>
    </row>
    <row r="270" spans="1:26" ht="11.25" customHeight="1" x14ac:dyDescent="0.2">
      <c r="A270" s="161"/>
      <c r="B270" s="161"/>
      <c r="C270" s="161"/>
      <c r="D270" s="161"/>
      <c r="E270" s="161"/>
      <c r="F270" s="161"/>
      <c r="G270" s="161"/>
      <c r="H270" s="161"/>
      <c r="I270" s="161"/>
      <c r="J270" s="161"/>
      <c r="K270" s="161"/>
      <c r="L270" s="161"/>
      <c r="M270" s="161"/>
      <c r="N270" s="161"/>
      <c r="O270" s="161"/>
      <c r="P270" s="161"/>
      <c r="Q270" s="161"/>
      <c r="R270" s="161"/>
      <c r="S270" s="161"/>
      <c r="T270" s="161"/>
      <c r="U270" s="161"/>
      <c r="V270" s="161"/>
      <c r="W270" s="161"/>
      <c r="X270" s="161"/>
      <c r="Y270" s="161"/>
      <c r="Z270" s="161"/>
    </row>
    <row r="271" spans="1:26" ht="11.25" customHeight="1" x14ac:dyDescent="0.2">
      <c r="A271" s="161"/>
      <c r="B271" s="161"/>
      <c r="C271" s="161"/>
      <c r="D271" s="161"/>
      <c r="E271" s="161"/>
      <c r="F271" s="161"/>
      <c r="G271" s="161"/>
      <c r="H271" s="161"/>
      <c r="I271" s="161"/>
      <c r="J271" s="161"/>
      <c r="K271" s="161"/>
      <c r="L271" s="161"/>
      <c r="M271" s="161"/>
      <c r="N271" s="161"/>
      <c r="O271" s="161"/>
      <c r="P271" s="161"/>
      <c r="Q271" s="161"/>
      <c r="R271" s="161"/>
      <c r="S271" s="161"/>
      <c r="T271" s="161"/>
      <c r="U271" s="161"/>
      <c r="V271" s="161"/>
      <c r="W271" s="161"/>
      <c r="X271" s="161"/>
      <c r="Y271" s="161"/>
      <c r="Z271" s="161"/>
    </row>
    <row r="272" spans="1:26" ht="11.25" customHeight="1" x14ac:dyDescent="0.2">
      <c r="A272" s="161"/>
      <c r="B272" s="161"/>
      <c r="C272" s="161"/>
      <c r="D272" s="161"/>
      <c r="E272" s="161"/>
      <c r="F272" s="161"/>
      <c r="G272" s="161"/>
      <c r="H272" s="161"/>
      <c r="I272" s="161"/>
      <c r="J272" s="161"/>
      <c r="K272" s="161"/>
      <c r="L272" s="161"/>
      <c r="M272" s="161"/>
      <c r="N272" s="161"/>
      <c r="O272" s="161"/>
      <c r="P272" s="161"/>
      <c r="Q272" s="161"/>
      <c r="R272" s="161"/>
      <c r="S272" s="161"/>
      <c r="T272" s="161"/>
      <c r="U272" s="161"/>
      <c r="V272" s="161"/>
      <c r="W272" s="161"/>
      <c r="X272" s="161"/>
      <c r="Y272" s="161"/>
      <c r="Z272" s="161"/>
    </row>
    <row r="273" spans="1:26" ht="11.25" customHeight="1" x14ac:dyDescent="0.2">
      <c r="A273" s="161"/>
      <c r="B273" s="161"/>
      <c r="C273" s="161"/>
      <c r="D273" s="161"/>
      <c r="E273" s="161"/>
      <c r="F273" s="161"/>
      <c r="G273" s="161"/>
      <c r="H273" s="161"/>
      <c r="I273" s="161"/>
      <c r="J273" s="161"/>
      <c r="K273" s="161"/>
      <c r="L273" s="161"/>
      <c r="M273" s="161"/>
      <c r="N273" s="161"/>
      <c r="O273" s="161"/>
      <c r="P273" s="161"/>
      <c r="Q273" s="161"/>
      <c r="R273" s="161"/>
      <c r="S273" s="161"/>
      <c r="T273" s="161"/>
      <c r="U273" s="161"/>
      <c r="V273" s="161"/>
      <c r="W273" s="161"/>
      <c r="X273" s="161"/>
      <c r="Y273" s="161"/>
      <c r="Z273" s="161"/>
    </row>
    <row r="274" spans="1:26" ht="11.25" customHeight="1" x14ac:dyDescent="0.2">
      <c r="A274" s="161"/>
      <c r="B274" s="161"/>
      <c r="C274" s="161"/>
      <c r="D274" s="161"/>
      <c r="E274" s="161"/>
      <c r="F274" s="161"/>
      <c r="G274" s="161"/>
      <c r="H274" s="161"/>
      <c r="I274" s="161"/>
      <c r="J274" s="161"/>
      <c r="K274" s="161"/>
      <c r="L274" s="161"/>
      <c r="M274" s="161"/>
      <c r="N274" s="161"/>
      <c r="O274" s="161"/>
      <c r="P274" s="161"/>
      <c r="Q274" s="161"/>
      <c r="R274" s="161"/>
      <c r="S274" s="161"/>
      <c r="T274" s="161"/>
      <c r="U274" s="161"/>
      <c r="V274" s="161"/>
      <c r="W274" s="161"/>
      <c r="X274" s="161"/>
      <c r="Y274" s="161"/>
      <c r="Z274" s="161"/>
    </row>
    <row r="275" spans="1:26" ht="11.25" customHeight="1" x14ac:dyDescent="0.2">
      <c r="A275" s="161"/>
      <c r="B275" s="161"/>
      <c r="C275" s="161"/>
      <c r="D275" s="161"/>
      <c r="E275" s="161"/>
      <c r="F275" s="161"/>
      <c r="G275" s="161"/>
      <c r="H275" s="161"/>
      <c r="I275" s="161"/>
      <c r="J275" s="161"/>
      <c r="K275" s="161"/>
      <c r="L275" s="161"/>
      <c r="M275" s="161"/>
      <c r="N275" s="161"/>
      <c r="O275" s="161"/>
      <c r="P275" s="161"/>
      <c r="Q275" s="161"/>
      <c r="R275" s="161"/>
      <c r="S275" s="161"/>
      <c r="T275" s="161"/>
      <c r="U275" s="161"/>
      <c r="V275" s="161"/>
      <c r="W275" s="161"/>
      <c r="X275" s="161"/>
      <c r="Y275" s="161"/>
      <c r="Z275" s="161"/>
    </row>
    <row r="276" spans="1:26" ht="11.25" customHeight="1" x14ac:dyDescent="0.2">
      <c r="A276" s="161"/>
      <c r="B276" s="161"/>
      <c r="C276" s="161"/>
      <c r="D276" s="161"/>
      <c r="E276" s="161"/>
      <c r="F276" s="161"/>
      <c r="G276" s="161"/>
      <c r="H276" s="161"/>
      <c r="I276" s="161"/>
      <c r="J276" s="161"/>
      <c r="K276" s="161"/>
      <c r="L276" s="161"/>
      <c r="M276" s="161"/>
      <c r="N276" s="161"/>
      <c r="O276" s="161"/>
      <c r="P276" s="161"/>
      <c r="Q276" s="161"/>
      <c r="R276" s="161"/>
      <c r="S276" s="161"/>
      <c r="T276" s="161"/>
      <c r="U276" s="161"/>
      <c r="V276" s="161"/>
      <c r="W276" s="161"/>
      <c r="X276" s="161"/>
      <c r="Y276" s="161"/>
      <c r="Z276" s="161"/>
    </row>
    <row r="277" spans="1:26" ht="11.25" customHeight="1" x14ac:dyDescent="0.2">
      <c r="A277" s="161"/>
      <c r="B277" s="161"/>
      <c r="C277" s="161"/>
      <c r="D277" s="161"/>
      <c r="E277" s="161"/>
      <c r="F277" s="161"/>
      <c r="G277" s="161"/>
      <c r="H277" s="161"/>
      <c r="I277" s="161"/>
      <c r="J277" s="161"/>
      <c r="K277" s="161"/>
      <c r="L277" s="161"/>
      <c r="M277" s="161"/>
      <c r="N277" s="161"/>
      <c r="O277" s="161"/>
      <c r="P277" s="161"/>
      <c r="Q277" s="161"/>
      <c r="R277" s="161"/>
      <c r="S277" s="161"/>
      <c r="T277" s="161"/>
      <c r="U277" s="161"/>
      <c r="V277" s="161"/>
      <c r="W277" s="161"/>
      <c r="X277" s="161"/>
      <c r="Y277" s="161"/>
      <c r="Z277" s="161"/>
    </row>
    <row r="278" spans="1:26" ht="11.25" customHeight="1" x14ac:dyDescent="0.2">
      <c r="A278" s="161"/>
      <c r="B278" s="161"/>
      <c r="C278" s="161"/>
      <c r="D278" s="161"/>
      <c r="E278" s="161"/>
      <c r="F278" s="161"/>
      <c r="G278" s="161"/>
      <c r="H278" s="161"/>
      <c r="I278" s="161"/>
      <c r="J278" s="161"/>
      <c r="K278" s="161"/>
      <c r="L278" s="161"/>
      <c r="M278" s="161"/>
      <c r="N278" s="161"/>
      <c r="O278" s="161"/>
      <c r="P278" s="161"/>
      <c r="Q278" s="161"/>
      <c r="R278" s="161"/>
      <c r="S278" s="161"/>
      <c r="T278" s="161"/>
      <c r="U278" s="161"/>
      <c r="V278" s="161"/>
      <c r="W278" s="161"/>
      <c r="X278" s="161"/>
      <c r="Y278" s="161"/>
      <c r="Z278" s="161"/>
    </row>
    <row r="279" spans="1:26" ht="11.25" customHeight="1" x14ac:dyDescent="0.2">
      <c r="A279" s="161"/>
      <c r="B279" s="161"/>
      <c r="C279" s="161"/>
      <c r="D279" s="161"/>
      <c r="E279" s="161"/>
      <c r="F279" s="161"/>
      <c r="G279" s="161"/>
      <c r="H279" s="161"/>
      <c r="I279" s="161"/>
      <c r="J279" s="161"/>
      <c r="K279" s="161"/>
      <c r="L279" s="161"/>
      <c r="M279" s="161"/>
      <c r="N279" s="161"/>
      <c r="O279" s="161"/>
      <c r="P279" s="161"/>
      <c r="Q279" s="161"/>
      <c r="R279" s="161"/>
      <c r="S279" s="161"/>
      <c r="T279" s="161"/>
      <c r="U279" s="161"/>
      <c r="V279" s="161"/>
      <c r="W279" s="161"/>
      <c r="X279" s="161"/>
      <c r="Y279" s="161"/>
      <c r="Z279" s="161"/>
    </row>
    <row r="280" spans="1:26" ht="11.25" customHeight="1" x14ac:dyDescent="0.2">
      <c r="A280" s="161"/>
      <c r="B280" s="161"/>
      <c r="C280" s="161"/>
      <c r="D280" s="161"/>
      <c r="E280" s="161"/>
      <c r="F280" s="161"/>
      <c r="G280" s="161"/>
      <c r="H280" s="161"/>
      <c r="I280" s="161"/>
      <c r="J280" s="161"/>
      <c r="K280" s="161"/>
      <c r="L280" s="161"/>
      <c r="M280" s="161"/>
      <c r="N280" s="161"/>
      <c r="O280" s="161"/>
      <c r="P280" s="161"/>
      <c r="Q280" s="161"/>
      <c r="R280" s="161"/>
      <c r="S280" s="161"/>
      <c r="T280" s="161"/>
      <c r="U280" s="161"/>
      <c r="V280" s="161"/>
      <c r="W280" s="161"/>
      <c r="X280" s="161"/>
      <c r="Y280" s="161"/>
      <c r="Z280" s="161"/>
    </row>
    <row r="281" spans="1:26" ht="11.25" customHeight="1" x14ac:dyDescent="0.2">
      <c r="A281" s="161"/>
      <c r="B281" s="161"/>
      <c r="C281" s="161"/>
      <c r="D281" s="161"/>
      <c r="E281" s="161"/>
      <c r="F281" s="161"/>
      <c r="G281" s="161"/>
      <c r="H281" s="161"/>
      <c r="I281" s="161"/>
      <c r="J281" s="161"/>
      <c r="K281" s="161"/>
      <c r="L281" s="161"/>
      <c r="M281" s="161"/>
      <c r="N281" s="161"/>
      <c r="O281" s="161"/>
      <c r="P281" s="161"/>
      <c r="Q281" s="161"/>
      <c r="R281" s="161"/>
      <c r="S281" s="161"/>
      <c r="T281" s="161"/>
      <c r="U281" s="161"/>
      <c r="V281" s="161"/>
      <c r="W281" s="161"/>
      <c r="X281" s="161"/>
      <c r="Y281" s="161"/>
      <c r="Z281" s="161"/>
    </row>
    <row r="282" spans="1:26" ht="11.25" customHeight="1" x14ac:dyDescent="0.2">
      <c r="A282" s="161"/>
      <c r="B282" s="161"/>
      <c r="C282" s="161"/>
      <c r="D282" s="161"/>
      <c r="E282" s="161"/>
      <c r="F282" s="161"/>
      <c r="G282" s="161"/>
      <c r="H282" s="161"/>
      <c r="I282" s="161"/>
      <c r="J282" s="161"/>
      <c r="K282" s="161"/>
      <c r="L282" s="161"/>
      <c r="M282" s="161"/>
      <c r="N282" s="161"/>
      <c r="O282" s="161"/>
      <c r="P282" s="161"/>
      <c r="Q282" s="161"/>
      <c r="R282" s="161"/>
      <c r="S282" s="161"/>
      <c r="T282" s="161"/>
      <c r="U282" s="161"/>
      <c r="V282" s="161"/>
      <c r="W282" s="161"/>
      <c r="X282" s="161"/>
      <c r="Y282" s="161"/>
      <c r="Z282" s="161"/>
    </row>
    <row r="283" spans="1:26" ht="11.25" customHeight="1" x14ac:dyDescent="0.2">
      <c r="A283" s="161"/>
      <c r="B283" s="161"/>
      <c r="C283" s="161"/>
      <c r="D283" s="161"/>
      <c r="E283" s="161"/>
      <c r="F283" s="161"/>
      <c r="G283" s="161"/>
      <c r="H283" s="161"/>
      <c r="I283" s="161"/>
      <c r="J283" s="161"/>
      <c r="K283" s="161"/>
      <c r="L283" s="161"/>
      <c r="M283" s="161"/>
      <c r="N283" s="161"/>
      <c r="O283" s="161"/>
      <c r="P283" s="161"/>
      <c r="Q283" s="161"/>
      <c r="R283" s="161"/>
      <c r="S283" s="161"/>
      <c r="T283" s="161"/>
      <c r="U283" s="161"/>
      <c r="V283" s="161"/>
      <c r="W283" s="161"/>
      <c r="X283" s="161"/>
      <c r="Y283" s="161"/>
      <c r="Z283" s="161"/>
    </row>
    <row r="284" spans="1:26" ht="11.25" customHeight="1" x14ac:dyDescent="0.2">
      <c r="A284" s="161"/>
      <c r="B284" s="161"/>
      <c r="C284" s="161"/>
      <c r="D284" s="161"/>
      <c r="E284" s="161"/>
      <c r="F284" s="161"/>
      <c r="G284" s="161"/>
      <c r="H284" s="161"/>
      <c r="I284" s="161"/>
      <c r="J284" s="161"/>
      <c r="K284" s="161"/>
      <c r="L284" s="161"/>
      <c r="M284" s="161"/>
      <c r="N284" s="161"/>
      <c r="O284" s="161"/>
      <c r="P284" s="161"/>
      <c r="Q284" s="161"/>
      <c r="R284" s="161"/>
      <c r="S284" s="161"/>
      <c r="T284" s="161"/>
      <c r="U284" s="161"/>
      <c r="V284" s="161"/>
      <c r="W284" s="161"/>
      <c r="X284" s="161"/>
      <c r="Y284" s="161"/>
      <c r="Z284" s="161"/>
    </row>
    <row r="285" spans="1:26" ht="11.25" customHeight="1" x14ac:dyDescent="0.2">
      <c r="A285" s="161"/>
      <c r="B285" s="161"/>
      <c r="C285" s="161"/>
      <c r="D285" s="161"/>
      <c r="E285" s="161"/>
      <c r="F285" s="161"/>
      <c r="G285" s="161"/>
      <c r="H285" s="161"/>
      <c r="I285" s="161"/>
      <c r="J285" s="161"/>
      <c r="K285" s="161"/>
      <c r="L285" s="161"/>
      <c r="M285" s="161"/>
      <c r="N285" s="161"/>
      <c r="O285" s="161"/>
      <c r="P285" s="161"/>
      <c r="Q285" s="161"/>
      <c r="R285" s="161"/>
      <c r="S285" s="161"/>
      <c r="T285" s="161"/>
      <c r="U285" s="161"/>
      <c r="V285" s="161"/>
      <c r="W285" s="161"/>
      <c r="X285" s="161"/>
      <c r="Y285" s="161"/>
      <c r="Z285" s="161"/>
    </row>
    <row r="286" spans="1:26" ht="11.25" customHeight="1" x14ac:dyDescent="0.2">
      <c r="A286" s="161"/>
      <c r="B286" s="161"/>
      <c r="C286" s="161"/>
      <c r="D286" s="161"/>
      <c r="E286" s="161"/>
      <c r="F286" s="161"/>
      <c r="G286" s="161"/>
      <c r="H286" s="161"/>
      <c r="I286" s="161"/>
      <c r="J286" s="161"/>
      <c r="K286" s="161"/>
      <c r="L286" s="161"/>
      <c r="M286" s="161"/>
      <c r="N286" s="161"/>
      <c r="O286" s="161"/>
      <c r="P286" s="161"/>
      <c r="Q286" s="161"/>
      <c r="R286" s="161"/>
      <c r="S286" s="161"/>
      <c r="T286" s="161"/>
      <c r="U286" s="161"/>
      <c r="V286" s="161"/>
      <c r="W286" s="161"/>
      <c r="X286" s="161"/>
      <c r="Y286" s="161"/>
      <c r="Z286" s="161"/>
    </row>
    <row r="287" spans="1:26" ht="11.25" customHeight="1" x14ac:dyDescent="0.2">
      <c r="A287" s="161"/>
      <c r="B287" s="161"/>
      <c r="C287" s="161"/>
      <c r="D287" s="161"/>
      <c r="E287" s="161"/>
      <c r="F287" s="161"/>
      <c r="G287" s="161"/>
      <c r="H287" s="161"/>
      <c r="I287" s="161"/>
      <c r="J287" s="161"/>
      <c r="K287" s="161"/>
      <c r="L287" s="161"/>
      <c r="M287" s="161"/>
      <c r="N287" s="161"/>
      <c r="O287" s="161"/>
      <c r="P287" s="161"/>
      <c r="Q287" s="161"/>
      <c r="R287" s="161"/>
      <c r="S287" s="161"/>
      <c r="T287" s="161"/>
      <c r="U287" s="161"/>
      <c r="V287" s="161"/>
      <c r="W287" s="161"/>
      <c r="X287" s="161"/>
      <c r="Y287" s="161"/>
      <c r="Z287" s="161"/>
    </row>
    <row r="288" spans="1:26" ht="11.25" customHeight="1" x14ac:dyDescent="0.2">
      <c r="A288" s="161"/>
      <c r="B288" s="161"/>
      <c r="C288" s="161"/>
      <c r="D288" s="161"/>
      <c r="E288" s="161"/>
      <c r="F288" s="161"/>
      <c r="G288" s="161"/>
      <c r="H288" s="161"/>
      <c r="I288" s="161"/>
      <c r="J288" s="161"/>
      <c r="K288" s="161"/>
      <c r="L288" s="161"/>
      <c r="M288" s="161"/>
      <c r="N288" s="161"/>
      <c r="O288" s="161"/>
      <c r="P288" s="161"/>
      <c r="Q288" s="161"/>
      <c r="R288" s="161"/>
      <c r="S288" s="161"/>
      <c r="T288" s="161"/>
      <c r="U288" s="161"/>
      <c r="V288" s="161"/>
      <c r="W288" s="161"/>
      <c r="X288" s="161"/>
      <c r="Y288" s="161"/>
      <c r="Z288" s="161"/>
    </row>
    <row r="289" spans="1:26" ht="11.25" customHeight="1" x14ac:dyDescent="0.2">
      <c r="A289" s="161"/>
      <c r="B289" s="161"/>
      <c r="C289" s="161"/>
      <c r="D289" s="161"/>
      <c r="E289" s="161"/>
      <c r="F289" s="161"/>
      <c r="G289" s="161"/>
      <c r="H289" s="161"/>
      <c r="I289" s="161"/>
      <c r="J289" s="161"/>
      <c r="K289" s="161"/>
      <c r="L289" s="161"/>
      <c r="M289" s="161"/>
      <c r="N289" s="161"/>
      <c r="O289" s="161"/>
      <c r="P289" s="161"/>
      <c r="Q289" s="161"/>
      <c r="R289" s="161"/>
      <c r="S289" s="161"/>
      <c r="T289" s="161"/>
      <c r="U289" s="161"/>
      <c r="V289" s="161"/>
      <c r="W289" s="161"/>
      <c r="X289" s="161"/>
      <c r="Y289" s="161"/>
      <c r="Z289" s="161"/>
    </row>
    <row r="290" spans="1:26" ht="11.25" customHeight="1" x14ac:dyDescent="0.2">
      <c r="A290" s="161"/>
      <c r="B290" s="161"/>
      <c r="C290" s="161"/>
      <c r="D290" s="161"/>
      <c r="E290" s="161"/>
      <c r="F290" s="161"/>
      <c r="G290" s="161"/>
      <c r="H290" s="161"/>
      <c r="I290" s="161"/>
      <c r="J290" s="161"/>
      <c r="K290" s="161"/>
      <c r="L290" s="161"/>
      <c r="M290" s="161"/>
      <c r="N290" s="161"/>
      <c r="O290" s="161"/>
      <c r="P290" s="161"/>
      <c r="Q290" s="161"/>
      <c r="R290" s="161"/>
      <c r="S290" s="161"/>
      <c r="T290" s="161"/>
      <c r="U290" s="161"/>
      <c r="V290" s="161"/>
      <c r="W290" s="161"/>
      <c r="X290" s="161"/>
      <c r="Y290" s="161"/>
      <c r="Z290" s="161"/>
    </row>
    <row r="291" spans="1:26" ht="11.25" customHeight="1" x14ac:dyDescent="0.2">
      <c r="A291" s="161"/>
      <c r="B291" s="161"/>
      <c r="C291" s="161"/>
      <c r="D291" s="161"/>
      <c r="E291" s="161"/>
      <c r="F291" s="161"/>
      <c r="G291" s="161"/>
      <c r="H291" s="161"/>
      <c r="I291" s="161"/>
      <c r="J291" s="161"/>
      <c r="K291" s="161"/>
      <c r="L291" s="161"/>
      <c r="M291" s="161"/>
      <c r="N291" s="161"/>
      <c r="O291" s="161"/>
      <c r="P291" s="161"/>
      <c r="Q291" s="161"/>
      <c r="R291" s="161"/>
      <c r="S291" s="161"/>
      <c r="T291" s="161"/>
      <c r="U291" s="161"/>
      <c r="V291" s="161"/>
      <c r="W291" s="161"/>
      <c r="X291" s="161"/>
      <c r="Y291" s="161"/>
      <c r="Z291" s="161"/>
    </row>
    <row r="292" spans="1:26" ht="11.25" customHeight="1" x14ac:dyDescent="0.2">
      <c r="A292" s="161"/>
      <c r="B292" s="161"/>
      <c r="C292" s="161"/>
      <c r="D292" s="161"/>
      <c r="E292" s="161"/>
      <c r="F292" s="161"/>
      <c r="G292" s="161"/>
      <c r="H292" s="161"/>
      <c r="I292" s="161"/>
      <c r="J292" s="161"/>
      <c r="K292" s="161"/>
      <c r="L292" s="161"/>
      <c r="M292" s="161"/>
      <c r="N292" s="161"/>
      <c r="O292" s="161"/>
      <c r="P292" s="161"/>
      <c r="Q292" s="161"/>
      <c r="R292" s="161"/>
      <c r="S292" s="161"/>
      <c r="T292" s="161"/>
      <c r="U292" s="161"/>
      <c r="V292" s="161"/>
      <c r="W292" s="161"/>
      <c r="X292" s="161"/>
      <c r="Y292" s="161"/>
      <c r="Z292" s="161"/>
    </row>
    <row r="293" spans="1:26" ht="11.25" customHeight="1" x14ac:dyDescent="0.2">
      <c r="A293" s="161"/>
      <c r="B293" s="161"/>
      <c r="C293" s="161"/>
      <c r="D293" s="161"/>
      <c r="E293" s="161"/>
      <c r="F293" s="161"/>
      <c r="G293" s="161"/>
      <c r="H293" s="161"/>
      <c r="I293" s="161"/>
      <c r="J293" s="161"/>
      <c r="K293" s="161"/>
      <c r="L293" s="161"/>
      <c r="M293" s="161"/>
      <c r="N293" s="161"/>
      <c r="O293" s="161"/>
      <c r="P293" s="161"/>
      <c r="Q293" s="161"/>
      <c r="R293" s="161"/>
      <c r="S293" s="161"/>
      <c r="T293" s="161"/>
      <c r="U293" s="161"/>
      <c r="V293" s="161"/>
      <c r="W293" s="161"/>
      <c r="X293" s="161"/>
      <c r="Y293" s="161"/>
      <c r="Z293" s="161"/>
    </row>
    <row r="294" spans="1:26" ht="11.25" customHeight="1" x14ac:dyDescent="0.2">
      <c r="A294" s="161"/>
      <c r="B294" s="161"/>
      <c r="C294" s="161"/>
      <c r="D294" s="161"/>
      <c r="E294" s="161"/>
      <c r="F294" s="161"/>
      <c r="G294" s="161"/>
      <c r="H294" s="161"/>
      <c r="I294" s="161"/>
      <c r="J294" s="161"/>
      <c r="K294" s="161"/>
      <c r="L294" s="161"/>
      <c r="M294" s="161"/>
      <c r="N294" s="161"/>
      <c r="O294" s="161"/>
      <c r="P294" s="161"/>
      <c r="Q294" s="161"/>
      <c r="R294" s="161"/>
      <c r="S294" s="161"/>
      <c r="T294" s="161"/>
      <c r="U294" s="161"/>
      <c r="V294" s="161"/>
      <c r="W294" s="161"/>
      <c r="X294" s="161"/>
      <c r="Y294" s="161"/>
      <c r="Z294" s="161"/>
    </row>
    <row r="295" spans="1:26" ht="11.25" customHeight="1" x14ac:dyDescent="0.2">
      <c r="A295" s="161"/>
      <c r="B295" s="161"/>
      <c r="C295" s="161"/>
      <c r="D295" s="161"/>
      <c r="E295" s="161"/>
      <c r="F295" s="161"/>
      <c r="G295" s="161"/>
      <c r="H295" s="161"/>
      <c r="I295" s="161"/>
      <c r="J295" s="161"/>
      <c r="K295" s="161"/>
      <c r="L295" s="161"/>
      <c r="M295" s="161"/>
      <c r="N295" s="161"/>
      <c r="O295" s="161"/>
      <c r="P295" s="161"/>
      <c r="Q295" s="161"/>
      <c r="R295" s="161"/>
      <c r="S295" s="161"/>
      <c r="T295" s="161"/>
      <c r="U295" s="161"/>
      <c r="V295" s="161"/>
      <c r="W295" s="161"/>
      <c r="X295" s="161"/>
      <c r="Y295" s="161"/>
      <c r="Z295" s="161"/>
    </row>
    <row r="296" spans="1:26" ht="11.25" customHeight="1" x14ac:dyDescent="0.2">
      <c r="A296" s="161"/>
      <c r="B296" s="161"/>
      <c r="C296" s="161"/>
      <c r="D296" s="161"/>
      <c r="E296" s="161"/>
      <c r="F296" s="161"/>
      <c r="G296" s="161"/>
      <c r="H296" s="161"/>
      <c r="I296" s="161"/>
      <c r="J296" s="161"/>
      <c r="K296" s="161"/>
      <c r="L296" s="161"/>
      <c r="M296" s="161"/>
      <c r="N296" s="161"/>
      <c r="O296" s="161"/>
      <c r="P296" s="161"/>
      <c r="Q296" s="161"/>
      <c r="R296" s="161"/>
      <c r="S296" s="161"/>
      <c r="T296" s="161"/>
      <c r="U296" s="161"/>
      <c r="V296" s="161"/>
      <c r="W296" s="161"/>
      <c r="X296" s="161"/>
      <c r="Y296" s="161"/>
      <c r="Z296" s="161"/>
    </row>
    <row r="297" spans="1:26" ht="11.25" customHeight="1" x14ac:dyDescent="0.2">
      <c r="A297" s="161"/>
      <c r="B297" s="161"/>
      <c r="C297" s="161"/>
      <c r="D297" s="161"/>
      <c r="E297" s="161"/>
      <c r="F297" s="161"/>
      <c r="G297" s="161"/>
      <c r="H297" s="161"/>
      <c r="I297" s="161"/>
      <c r="J297" s="161"/>
      <c r="K297" s="161"/>
      <c r="L297" s="161"/>
      <c r="M297" s="161"/>
      <c r="N297" s="161"/>
      <c r="O297" s="161"/>
      <c r="P297" s="161"/>
      <c r="Q297" s="161"/>
      <c r="R297" s="161"/>
      <c r="S297" s="161"/>
      <c r="T297" s="161"/>
      <c r="U297" s="161"/>
      <c r="V297" s="161"/>
      <c r="W297" s="161"/>
      <c r="X297" s="161"/>
      <c r="Y297" s="161"/>
      <c r="Z297" s="161"/>
    </row>
    <row r="298" spans="1:26" ht="11.25" customHeight="1" x14ac:dyDescent="0.2">
      <c r="A298" s="161"/>
      <c r="B298" s="161"/>
      <c r="C298" s="161"/>
      <c r="D298" s="161"/>
      <c r="E298" s="161"/>
      <c r="F298" s="161"/>
      <c r="G298" s="161"/>
      <c r="H298" s="161"/>
      <c r="I298" s="161"/>
      <c r="J298" s="161"/>
      <c r="K298" s="161"/>
      <c r="L298" s="161"/>
      <c r="M298" s="161"/>
      <c r="N298" s="161"/>
      <c r="O298" s="161"/>
      <c r="P298" s="161"/>
      <c r="Q298" s="161"/>
      <c r="R298" s="161"/>
      <c r="S298" s="161"/>
      <c r="T298" s="161"/>
      <c r="U298" s="161"/>
      <c r="V298" s="161"/>
      <c r="W298" s="161"/>
      <c r="X298" s="161"/>
      <c r="Y298" s="161"/>
      <c r="Z298" s="161"/>
    </row>
    <row r="299" spans="1:26" ht="11.25" customHeight="1" x14ac:dyDescent="0.2">
      <c r="A299" s="161"/>
      <c r="B299" s="161"/>
      <c r="C299" s="161"/>
      <c r="D299" s="161"/>
      <c r="E299" s="161"/>
      <c r="F299" s="161"/>
      <c r="G299" s="161"/>
      <c r="H299" s="161"/>
      <c r="I299" s="161"/>
      <c r="J299" s="161"/>
      <c r="K299" s="161"/>
      <c r="L299" s="161"/>
      <c r="M299" s="161"/>
      <c r="N299" s="161"/>
      <c r="O299" s="161"/>
      <c r="P299" s="161"/>
      <c r="Q299" s="161"/>
      <c r="R299" s="161"/>
      <c r="S299" s="161"/>
      <c r="T299" s="161"/>
      <c r="U299" s="161"/>
      <c r="V299" s="161"/>
      <c r="W299" s="161"/>
      <c r="X299" s="161"/>
      <c r="Y299" s="161"/>
      <c r="Z299" s="161"/>
    </row>
    <row r="300" spans="1:26" ht="11.25" customHeight="1" x14ac:dyDescent="0.2">
      <c r="A300" s="161"/>
      <c r="B300" s="161"/>
      <c r="C300" s="161"/>
      <c r="D300" s="161"/>
      <c r="E300" s="161"/>
      <c r="F300" s="161"/>
      <c r="G300" s="161"/>
      <c r="H300" s="161"/>
      <c r="I300" s="161"/>
      <c r="J300" s="161"/>
      <c r="K300" s="161"/>
      <c r="L300" s="161"/>
      <c r="M300" s="161"/>
      <c r="N300" s="161"/>
      <c r="O300" s="161"/>
      <c r="P300" s="161"/>
      <c r="Q300" s="161"/>
      <c r="R300" s="161"/>
      <c r="S300" s="161"/>
      <c r="T300" s="161"/>
      <c r="U300" s="161"/>
      <c r="V300" s="161"/>
      <c r="W300" s="161"/>
      <c r="X300" s="161"/>
      <c r="Y300" s="161"/>
      <c r="Z300" s="161"/>
    </row>
    <row r="301" spans="1:26" ht="11.25" customHeight="1" x14ac:dyDescent="0.2">
      <c r="A301" s="161"/>
      <c r="B301" s="161"/>
      <c r="C301" s="161"/>
      <c r="D301" s="161"/>
      <c r="E301" s="161"/>
      <c r="F301" s="161"/>
      <c r="G301" s="161"/>
      <c r="H301" s="161"/>
      <c r="I301" s="161"/>
      <c r="J301" s="161"/>
      <c r="K301" s="161"/>
      <c r="L301" s="161"/>
      <c r="M301" s="161"/>
      <c r="N301" s="161"/>
      <c r="O301" s="161"/>
      <c r="P301" s="161"/>
      <c r="Q301" s="161"/>
      <c r="R301" s="161"/>
      <c r="S301" s="161"/>
      <c r="T301" s="161"/>
      <c r="U301" s="161"/>
      <c r="V301" s="161"/>
      <c r="W301" s="161"/>
      <c r="X301" s="161"/>
      <c r="Y301" s="161"/>
      <c r="Z301" s="161"/>
    </row>
    <row r="302" spans="1:26" ht="11.25" customHeight="1" x14ac:dyDescent="0.2">
      <c r="A302" s="161"/>
      <c r="B302" s="161"/>
      <c r="C302" s="161"/>
      <c r="D302" s="161"/>
      <c r="E302" s="161"/>
      <c r="F302" s="161"/>
      <c r="G302" s="161"/>
      <c r="H302" s="161"/>
      <c r="I302" s="161"/>
      <c r="J302" s="161"/>
      <c r="K302" s="161"/>
      <c r="L302" s="161"/>
      <c r="M302" s="161"/>
      <c r="N302" s="161"/>
      <c r="O302" s="161"/>
      <c r="P302" s="161"/>
      <c r="Q302" s="161"/>
      <c r="R302" s="161"/>
      <c r="S302" s="161"/>
      <c r="T302" s="161"/>
      <c r="U302" s="161"/>
      <c r="V302" s="161"/>
      <c r="W302" s="161"/>
      <c r="X302" s="161"/>
      <c r="Y302" s="161"/>
      <c r="Z302" s="161"/>
    </row>
    <row r="303" spans="1:26" ht="11.25" customHeight="1" x14ac:dyDescent="0.2">
      <c r="A303" s="161"/>
      <c r="B303" s="161"/>
      <c r="C303" s="161"/>
      <c r="D303" s="161"/>
      <c r="E303" s="161"/>
      <c r="F303" s="161"/>
      <c r="G303" s="161"/>
      <c r="H303" s="161"/>
      <c r="I303" s="161"/>
      <c r="J303" s="161"/>
      <c r="K303" s="161"/>
      <c r="L303" s="161"/>
      <c r="M303" s="161"/>
      <c r="N303" s="161"/>
      <c r="O303" s="161"/>
      <c r="P303" s="161"/>
      <c r="Q303" s="161"/>
      <c r="R303" s="161"/>
      <c r="S303" s="161"/>
      <c r="T303" s="161"/>
      <c r="U303" s="161"/>
      <c r="V303" s="161"/>
      <c r="W303" s="161"/>
      <c r="X303" s="161"/>
      <c r="Y303" s="161"/>
      <c r="Z303" s="161"/>
    </row>
    <row r="304" spans="1:26" ht="11.25" customHeight="1" x14ac:dyDescent="0.2">
      <c r="A304" s="161"/>
      <c r="B304" s="161"/>
      <c r="C304" s="161"/>
      <c r="D304" s="161"/>
      <c r="E304" s="161"/>
      <c r="F304" s="161"/>
      <c r="G304" s="161"/>
      <c r="H304" s="161"/>
      <c r="I304" s="161"/>
      <c r="J304" s="161"/>
      <c r="K304" s="161"/>
      <c r="L304" s="161"/>
      <c r="M304" s="161"/>
      <c r="N304" s="161"/>
      <c r="O304" s="161"/>
      <c r="P304" s="161"/>
      <c r="Q304" s="161"/>
      <c r="R304" s="161"/>
      <c r="S304" s="161"/>
      <c r="T304" s="161"/>
      <c r="U304" s="161"/>
      <c r="V304" s="161"/>
      <c r="W304" s="161"/>
      <c r="X304" s="161"/>
      <c r="Y304" s="161"/>
      <c r="Z304" s="161"/>
    </row>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1">
    <mergeCell ref="Q104:U104"/>
    <mergeCell ref="Q95:U95"/>
    <mergeCell ref="Q96:U96"/>
    <mergeCell ref="Q97:U97"/>
    <mergeCell ref="Q98:U98"/>
    <mergeCell ref="Q99:U99"/>
    <mergeCell ref="Q100:U100"/>
    <mergeCell ref="Q101:U101"/>
    <mergeCell ref="Q92:U92"/>
    <mergeCell ref="Q93:U93"/>
    <mergeCell ref="Q94:U94"/>
    <mergeCell ref="Q102:U102"/>
    <mergeCell ref="Q103:U103"/>
    <mergeCell ref="Q87:U87"/>
    <mergeCell ref="Q88:U88"/>
    <mergeCell ref="Q89:U89"/>
    <mergeCell ref="Q90:U90"/>
    <mergeCell ref="Q91:U91"/>
    <mergeCell ref="Q82:U82"/>
    <mergeCell ref="Q83:U83"/>
    <mergeCell ref="Q84:U84"/>
    <mergeCell ref="Q85:U85"/>
    <mergeCell ref="Q86:U86"/>
    <mergeCell ref="G82:J82"/>
    <mergeCell ref="G86:J86"/>
    <mergeCell ref="G87:J87"/>
    <mergeCell ref="G83:J83"/>
    <mergeCell ref="M83:N83"/>
    <mergeCell ref="G84:J84"/>
    <mergeCell ref="M84:N84"/>
    <mergeCell ref="G85:J85"/>
    <mergeCell ref="M85:N85"/>
    <mergeCell ref="M86:N86"/>
    <mergeCell ref="M87:N87"/>
    <mergeCell ref="C80:D80"/>
    <mergeCell ref="G80:J80"/>
    <mergeCell ref="M80:N80"/>
    <mergeCell ref="Q80:U80"/>
    <mergeCell ref="G81:J81"/>
    <mergeCell ref="M81:N81"/>
    <mergeCell ref="Q81:U81"/>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M1023"/>
  <sheetViews>
    <sheetView workbookViewId="0"/>
  </sheetViews>
  <sheetFormatPr defaultColWidth="16.83203125" defaultRowHeight="15" customHeight="1" x14ac:dyDescent="0.2"/>
  <cols>
    <col min="1" max="1" width="3.83203125" customWidth="1"/>
    <col min="2" max="2" width="23" customWidth="1"/>
    <col min="3" max="3" width="12.5" customWidth="1"/>
    <col min="4" max="4" width="10.6640625" customWidth="1"/>
    <col min="5" max="5" width="17.83203125" customWidth="1"/>
    <col min="6" max="6" width="8" customWidth="1"/>
    <col min="7" max="7" width="18.1640625" customWidth="1"/>
    <col min="8" max="8" width="8" customWidth="1"/>
    <col min="9" max="9" width="13.33203125" customWidth="1"/>
    <col min="10" max="10" width="8" customWidth="1"/>
    <col min="11" max="11" width="17.1640625" customWidth="1"/>
    <col min="12" max="12" width="8" customWidth="1"/>
    <col min="13" max="13" width="16.33203125" customWidth="1"/>
    <col min="14" max="14" width="8" customWidth="1"/>
    <col min="15" max="15" width="12.5" customWidth="1"/>
    <col min="16" max="16" width="8" customWidth="1"/>
    <col min="17" max="17" width="11.1640625" customWidth="1"/>
    <col min="18" max="18" width="8" customWidth="1"/>
    <col min="19" max="19" width="19.83203125" customWidth="1"/>
    <col min="20" max="20" width="8" customWidth="1"/>
    <col min="21" max="21" width="19.83203125" customWidth="1"/>
    <col min="22" max="22" width="8" customWidth="1"/>
    <col min="23" max="23" width="11.6640625" customWidth="1"/>
    <col min="24" max="24" width="8" customWidth="1"/>
    <col min="25" max="25" width="11.33203125" customWidth="1"/>
    <col min="26" max="26" width="8" customWidth="1"/>
    <col min="27" max="27" width="14.6640625" customWidth="1"/>
    <col min="28" max="28" width="6.33203125" customWidth="1"/>
    <col min="29" max="29" width="14.1640625" customWidth="1"/>
    <col min="30" max="32" width="8" customWidth="1"/>
    <col min="33" max="33" width="10.33203125" customWidth="1"/>
    <col min="34" max="34" width="8" customWidth="1"/>
    <col min="35" max="35" width="10.1640625" customWidth="1"/>
    <col min="36" max="36" width="8" customWidth="1"/>
    <col min="37" max="37" width="10.6640625" customWidth="1"/>
    <col min="38" max="38" width="8" customWidth="1"/>
    <col min="39" max="39" width="12" customWidth="1"/>
  </cols>
  <sheetData>
    <row r="1" spans="1:39" ht="33" customHeight="1" x14ac:dyDescent="0.45">
      <c r="B1" s="1192" t="s">
        <v>1105</v>
      </c>
      <c r="C1" s="1193"/>
      <c r="D1" s="1195"/>
      <c r="E1" s="1195"/>
      <c r="G1" s="16"/>
    </row>
    <row r="2" spans="1:39" ht="294" customHeight="1" x14ac:dyDescent="0.2"/>
    <row r="3" spans="1:39" ht="19.5" customHeight="1" x14ac:dyDescent="0.2">
      <c r="B3" s="1196"/>
      <c r="C3" s="1196"/>
      <c r="D3" s="1196"/>
      <c r="E3" s="1196"/>
      <c r="F3" s="1196"/>
      <c r="G3" s="1196"/>
      <c r="H3" s="1196"/>
      <c r="I3" s="1196"/>
      <c r="J3" s="1198"/>
      <c r="K3" s="1198"/>
      <c r="L3" s="1198"/>
      <c r="M3" s="1198"/>
      <c r="N3" s="1198"/>
      <c r="O3" s="1198"/>
      <c r="P3" s="1198"/>
      <c r="Q3" s="1198"/>
      <c r="R3" s="1198"/>
      <c r="S3" s="1198"/>
      <c r="T3" s="1198"/>
      <c r="U3" s="1198"/>
      <c r="V3" s="1198"/>
      <c r="W3" s="1198"/>
      <c r="X3" s="1198"/>
      <c r="Y3" s="1198"/>
    </row>
    <row r="4" spans="1:39" ht="19.5" customHeight="1" x14ac:dyDescent="0.2">
      <c r="B4" s="1863" t="s">
        <v>1109</v>
      </c>
      <c r="C4" s="1864"/>
      <c r="D4" s="1864"/>
      <c r="E4" s="1864"/>
      <c r="F4" s="1864"/>
      <c r="G4" s="1864"/>
      <c r="H4" s="1864"/>
      <c r="I4" s="1864"/>
      <c r="J4" s="1199"/>
      <c r="K4" s="1199"/>
      <c r="L4" s="1199"/>
      <c r="M4" s="1199"/>
      <c r="N4" s="1199"/>
      <c r="O4" s="1199"/>
      <c r="P4" s="1199"/>
      <c r="Q4" s="1199"/>
      <c r="R4" s="1199"/>
      <c r="S4" s="1199"/>
      <c r="T4" s="1199"/>
      <c r="U4" s="1199"/>
      <c r="V4" s="1199"/>
      <c r="W4" s="1199"/>
      <c r="X4" s="1199"/>
      <c r="Y4" s="1200"/>
    </row>
    <row r="5" spans="1:39" ht="45.75" customHeight="1" x14ac:dyDescent="0.2">
      <c r="A5" s="161"/>
      <c r="B5" s="1201" t="s">
        <v>655</v>
      </c>
      <c r="C5" s="1201" t="s">
        <v>963</v>
      </c>
      <c r="D5" s="1202"/>
      <c r="E5" s="1201" t="s">
        <v>1110</v>
      </c>
      <c r="F5" s="1203"/>
      <c r="G5" s="1201" t="s">
        <v>1111</v>
      </c>
      <c r="H5" s="1203"/>
      <c r="I5" s="1201" t="s">
        <v>1112</v>
      </c>
      <c r="J5" s="1203"/>
      <c r="K5" s="1201" t="s">
        <v>1113</v>
      </c>
      <c r="L5" s="1203"/>
      <c r="M5" s="1201" t="s">
        <v>1114</v>
      </c>
      <c r="N5" s="1203"/>
      <c r="O5" s="1201" t="s">
        <v>1115</v>
      </c>
      <c r="P5" s="1203"/>
      <c r="Q5" s="1201" t="s">
        <v>1117</v>
      </c>
      <c r="R5" s="1203"/>
      <c r="S5" s="1201" t="s">
        <v>1118</v>
      </c>
      <c r="T5" s="1201"/>
      <c r="U5" s="1201" t="s">
        <v>1119</v>
      </c>
      <c r="V5" s="1203"/>
      <c r="W5" s="1201" t="s">
        <v>987</v>
      </c>
      <c r="X5" s="1204"/>
      <c r="Y5" s="1205" t="s">
        <v>1121</v>
      </c>
      <c r="Z5" s="161"/>
      <c r="AA5" s="161"/>
      <c r="AB5" s="161"/>
      <c r="AC5" s="161"/>
      <c r="AD5" s="161"/>
      <c r="AE5" s="161"/>
      <c r="AF5" s="161"/>
      <c r="AG5" s="161"/>
      <c r="AH5" s="161"/>
      <c r="AI5" s="161"/>
      <c r="AJ5" s="161"/>
      <c r="AK5" s="161"/>
      <c r="AL5" s="161"/>
      <c r="AM5" s="161"/>
    </row>
    <row r="6" spans="1:39" ht="11.25" customHeight="1" x14ac:dyDescent="0.2">
      <c r="A6" s="656"/>
      <c r="B6" s="1206">
        <v>2006</v>
      </c>
      <c r="C6" s="1207">
        <v>5602258</v>
      </c>
      <c r="D6" s="1206" t="s">
        <v>755</v>
      </c>
      <c r="E6" s="1208">
        <v>0.09</v>
      </c>
      <c r="F6" s="1206" t="s">
        <v>755</v>
      </c>
      <c r="G6" s="1209">
        <v>365</v>
      </c>
      <c r="H6" s="1206" t="s">
        <v>755</v>
      </c>
      <c r="I6" s="1210">
        <v>1E-3</v>
      </c>
      <c r="J6" s="1206" t="s">
        <v>755</v>
      </c>
      <c r="K6" s="1211">
        <v>0.6</v>
      </c>
      <c r="L6" s="1206" t="s">
        <v>755</v>
      </c>
      <c r="M6" s="1212">
        <v>0.16250000000000001</v>
      </c>
      <c r="N6" s="1206" t="s">
        <v>740</v>
      </c>
      <c r="O6" s="1211">
        <f>C6*$E$6*$G$6*$M$6*$K$6*$I$6</f>
        <v>17943.332091749999</v>
      </c>
      <c r="P6" s="1206" t="s">
        <v>755</v>
      </c>
      <c r="Q6" s="1207">
        <f>$I$53</f>
        <v>27.9</v>
      </c>
      <c r="R6" s="1206" t="s">
        <v>755</v>
      </c>
      <c r="S6" s="1214">
        <v>9.9999999999999995E-7</v>
      </c>
      <c r="T6" s="1206" t="s">
        <v>755</v>
      </c>
      <c r="U6" s="1211">
        <f>12/44</f>
        <v>0.27272727272727271</v>
      </c>
      <c r="V6" s="1206" t="s">
        <v>740</v>
      </c>
      <c r="W6" s="1216">
        <f>O6*Q$6*S$6*U$6</f>
        <v>0.13653244509813409</v>
      </c>
      <c r="X6" s="1206" t="s">
        <v>740</v>
      </c>
      <c r="Y6" s="1218">
        <f>W6*44/12</f>
        <v>0.50061896535982497</v>
      </c>
      <c r="Z6" s="656"/>
      <c r="AA6" s="656"/>
      <c r="AB6" s="656"/>
      <c r="AC6" s="656"/>
      <c r="AD6" s="656"/>
      <c r="AE6" s="656"/>
      <c r="AF6" s="656"/>
      <c r="AG6" s="656"/>
      <c r="AH6" s="656"/>
      <c r="AI6" s="656"/>
      <c r="AJ6" s="656"/>
      <c r="AK6" s="656"/>
      <c r="AL6" s="656"/>
      <c r="AM6" s="656"/>
    </row>
    <row r="7" spans="1:39" ht="11.25" customHeight="1" x14ac:dyDescent="0.2"/>
    <row r="8" spans="1:39" ht="19.5" customHeight="1" x14ac:dyDescent="0.2">
      <c r="B8" s="1221" t="s">
        <v>1126</v>
      </c>
      <c r="C8" s="1224"/>
      <c r="D8" s="1224"/>
      <c r="E8" s="1224"/>
      <c r="F8" s="1224"/>
      <c r="G8" s="1224"/>
      <c r="H8" s="1224"/>
      <c r="I8" s="1224"/>
      <c r="J8" s="1224"/>
      <c r="K8" s="1224"/>
      <c r="L8" s="1224"/>
      <c r="M8" s="1224"/>
      <c r="N8" s="1224"/>
      <c r="O8" s="1224"/>
      <c r="P8" s="1224"/>
      <c r="Q8" s="1224"/>
      <c r="R8" s="1224"/>
      <c r="S8" s="1224"/>
      <c r="T8" s="1224"/>
      <c r="U8" s="1227"/>
    </row>
    <row r="9" spans="1:39" ht="54.75" customHeight="1" x14ac:dyDescent="0.2">
      <c r="B9" s="1201" t="s">
        <v>655</v>
      </c>
      <c r="C9" s="1201" t="s">
        <v>963</v>
      </c>
      <c r="D9" s="1230"/>
      <c r="E9" s="1201" t="s">
        <v>1127</v>
      </c>
      <c r="F9" s="1203"/>
      <c r="G9" s="1201" t="s">
        <v>1128</v>
      </c>
      <c r="H9" s="1203"/>
      <c r="I9" s="1201" t="s">
        <v>1129</v>
      </c>
      <c r="J9" s="1201"/>
      <c r="K9" s="1201" t="s">
        <v>1130</v>
      </c>
      <c r="L9" s="1203"/>
      <c r="M9" s="1201" t="s">
        <v>1131</v>
      </c>
      <c r="N9" s="1203"/>
      <c r="O9" s="1201" t="s">
        <v>1133</v>
      </c>
      <c r="P9" s="1201"/>
      <c r="Q9" s="1201" t="s">
        <v>1135</v>
      </c>
      <c r="R9" s="1203"/>
      <c r="S9" s="1201" t="s">
        <v>987</v>
      </c>
      <c r="T9" s="1204"/>
      <c r="U9" s="1205" t="s">
        <v>1121</v>
      </c>
      <c r="V9" s="161"/>
      <c r="W9" s="161"/>
      <c r="X9" s="161"/>
      <c r="Y9" s="161"/>
      <c r="Z9" s="161"/>
      <c r="AA9" s="161"/>
      <c r="AB9" s="161"/>
      <c r="AC9" s="161"/>
      <c r="AD9" s="161"/>
    </row>
    <row r="10" spans="1:39" ht="11.25" customHeight="1" x14ac:dyDescent="0.2">
      <c r="A10" s="1233"/>
      <c r="B10" s="1206">
        <v>2006</v>
      </c>
      <c r="C10" s="1207">
        <v>5602258</v>
      </c>
      <c r="D10" s="1206" t="s">
        <v>755</v>
      </c>
      <c r="E10" s="1236">
        <v>0.79</v>
      </c>
      <c r="F10" s="1206" t="s">
        <v>755</v>
      </c>
      <c r="G10" s="1237">
        <v>4</v>
      </c>
      <c r="H10" s="1206" t="s">
        <v>755</v>
      </c>
      <c r="I10" s="1239">
        <v>9.9999999999999995E-7</v>
      </c>
      <c r="J10" s="1206" t="s">
        <v>740</v>
      </c>
      <c r="K10" s="1244">
        <f>C10*E10*G10*I10</f>
        <v>17.703135280000001</v>
      </c>
      <c r="L10" s="1206" t="s">
        <v>755</v>
      </c>
      <c r="M10" s="1207">
        <f>$I$54</f>
        <v>273</v>
      </c>
      <c r="N10" s="1206" t="s">
        <v>755</v>
      </c>
      <c r="O10" s="1214">
        <f>1/1000000</f>
        <v>9.9999999999999995E-7</v>
      </c>
      <c r="P10" s="1206" t="s">
        <v>755</v>
      </c>
      <c r="Q10" s="1211">
        <f>12/44</f>
        <v>0.27272727272727271</v>
      </c>
      <c r="R10" s="1206" t="s">
        <v>740</v>
      </c>
      <c r="S10" s="1250">
        <f>K10*M10*O10*Q10</f>
        <v>1.3180788903927271E-3</v>
      </c>
      <c r="T10" s="1206" t="s">
        <v>740</v>
      </c>
      <c r="U10" s="1218">
        <f>S10*(44/12)</f>
        <v>4.8329559314399988E-3</v>
      </c>
      <c r="V10" s="656"/>
      <c r="W10" s="656"/>
      <c r="X10" s="656"/>
      <c r="Y10" s="656"/>
      <c r="Z10" s="656"/>
      <c r="AA10" s="656"/>
      <c r="AB10" s="656"/>
      <c r="AC10" s="656"/>
      <c r="AD10" s="656"/>
      <c r="AE10" s="1233"/>
      <c r="AF10" s="1233"/>
      <c r="AG10" s="1233"/>
      <c r="AH10" s="1233"/>
      <c r="AI10" s="1233"/>
      <c r="AJ10" s="1233"/>
      <c r="AK10" s="1233"/>
      <c r="AL10" s="1233"/>
      <c r="AM10" s="1233"/>
    </row>
    <row r="11" spans="1:39" ht="11.25" customHeight="1" x14ac:dyDescent="0.2">
      <c r="B11" s="161"/>
      <c r="C11" s="161"/>
      <c r="D11" s="161"/>
      <c r="E11" s="161"/>
      <c r="F11" s="161"/>
      <c r="G11" s="161"/>
      <c r="H11" s="161"/>
      <c r="I11" s="161"/>
      <c r="J11" s="161"/>
      <c r="K11" s="161"/>
      <c r="L11" s="161"/>
      <c r="M11" s="161"/>
      <c r="N11" s="161"/>
      <c r="O11" s="161"/>
      <c r="P11" s="161"/>
      <c r="Q11" s="161"/>
      <c r="R11" s="161"/>
      <c r="S11" s="161"/>
      <c r="T11" s="161"/>
      <c r="U11" s="161"/>
      <c r="V11" s="161"/>
      <c r="W11" s="161"/>
      <c r="X11" s="161"/>
      <c r="Y11" s="161"/>
      <c r="Z11" s="161"/>
      <c r="AA11" s="161"/>
      <c r="AB11" s="161"/>
      <c r="AC11" s="161"/>
      <c r="AD11" s="161"/>
    </row>
    <row r="12" spans="1:39" ht="19.5" customHeight="1" x14ac:dyDescent="0.2">
      <c r="B12" s="1252" t="s">
        <v>1150</v>
      </c>
      <c r="C12" s="1253"/>
      <c r="D12" s="1253"/>
      <c r="E12" s="1253"/>
      <c r="F12" s="1253"/>
      <c r="G12" s="1253"/>
      <c r="H12" s="1253"/>
      <c r="I12" s="1253"/>
      <c r="J12" s="1253"/>
      <c r="K12" s="1253"/>
      <c r="L12" s="1253"/>
      <c r="M12" s="1253"/>
      <c r="N12" s="1253"/>
      <c r="O12" s="1253"/>
      <c r="P12" s="1253"/>
      <c r="Q12" s="1253"/>
      <c r="R12" s="1253"/>
      <c r="S12" s="1253"/>
      <c r="T12" s="1253"/>
      <c r="U12" s="1253"/>
      <c r="V12" s="1253"/>
      <c r="W12" s="1253"/>
      <c r="X12" s="1253"/>
      <c r="Y12" s="1253"/>
      <c r="Z12" s="1253"/>
      <c r="AA12" s="1253"/>
      <c r="AB12" s="1253"/>
      <c r="AC12" s="1253"/>
      <c r="AD12" s="1253"/>
      <c r="AE12" s="1253"/>
      <c r="AF12" s="1253"/>
      <c r="AG12" s="1253"/>
      <c r="AH12" s="1253"/>
      <c r="AI12" s="1253"/>
      <c r="AJ12" s="1253"/>
      <c r="AK12" s="1253"/>
      <c r="AL12" s="1253"/>
      <c r="AM12" s="1255"/>
    </row>
    <row r="13" spans="1:39" ht="54.75" customHeight="1" x14ac:dyDescent="0.2">
      <c r="B13" s="1256" t="s">
        <v>655</v>
      </c>
      <c r="C13" s="1257" t="s">
        <v>963</v>
      </c>
      <c r="D13" s="1258"/>
      <c r="E13" s="1257" t="s">
        <v>1151</v>
      </c>
      <c r="F13" s="1259"/>
      <c r="G13" s="1257" t="s">
        <v>1152</v>
      </c>
      <c r="H13" s="1259"/>
      <c r="I13" s="1257" t="s">
        <v>1153</v>
      </c>
      <c r="J13" s="1259"/>
      <c r="K13" s="1257" t="s">
        <v>1112</v>
      </c>
      <c r="L13" s="1257"/>
      <c r="M13" s="1257" t="s">
        <v>1154</v>
      </c>
      <c r="N13" s="1257"/>
      <c r="O13" s="1257" t="s">
        <v>1155</v>
      </c>
      <c r="P13" s="1258"/>
      <c r="Q13" s="1257" t="s">
        <v>1156</v>
      </c>
      <c r="R13" s="1257"/>
      <c r="S13" s="1257" t="s">
        <v>1157</v>
      </c>
      <c r="T13" s="1257"/>
      <c r="U13" s="1257" t="s">
        <v>1158</v>
      </c>
      <c r="V13" s="1259"/>
      <c r="W13" s="1257" t="s">
        <v>1159</v>
      </c>
      <c r="X13" s="1259"/>
      <c r="Y13" s="1257" t="s">
        <v>1160</v>
      </c>
      <c r="Z13" s="1259"/>
      <c r="AA13" s="1257" t="s">
        <v>1161</v>
      </c>
      <c r="AB13" s="1259"/>
      <c r="AC13" s="1257" t="s">
        <v>1118</v>
      </c>
      <c r="AD13" s="1257"/>
      <c r="AE13" s="1257" t="s">
        <v>1162</v>
      </c>
      <c r="AF13" s="1259"/>
      <c r="AG13" s="1257" t="s">
        <v>1163</v>
      </c>
      <c r="AH13" s="1257"/>
      <c r="AI13" s="1257" t="s">
        <v>1164</v>
      </c>
      <c r="AJ13" s="1257"/>
      <c r="AK13" s="1257" t="s">
        <v>1165</v>
      </c>
      <c r="AL13" s="1258"/>
      <c r="AM13" s="1257" t="s">
        <v>1166</v>
      </c>
    </row>
    <row r="14" spans="1:39" ht="11.25" customHeight="1" x14ac:dyDescent="0.2">
      <c r="B14" s="1261"/>
      <c r="C14" s="883"/>
      <c r="D14" s="883"/>
      <c r="E14" s="1262"/>
      <c r="F14" s="1263"/>
      <c r="G14" s="1262"/>
      <c r="H14" s="1263"/>
      <c r="I14" s="1263"/>
      <c r="J14" s="1263"/>
      <c r="K14" s="1263"/>
      <c r="L14" s="1263"/>
      <c r="M14" s="1263"/>
      <c r="N14" s="1263"/>
      <c r="O14" s="1263"/>
      <c r="P14" s="1263"/>
      <c r="Q14" s="1263"/>
      <c r="R14" s="1263"/>
      <c r="S14" s="1263"/>
      <c r="T14" s="1263"/>
      <c r="U14" s="1262"/>
      <c r="V14" s="1263"/>
      <c r="W14" s="1263"/>
      <c r="X14" s="1263"/>
      <c r="Y14" s="1263"/>
      <c r="Z14" s="1263"/>
      <c r="AA14" s="1263"/>
      <c r="AB14" s="1263"/>
      <c r="AC14" s="1263" t="s">
        <v>1169</v>
      </c>
      <c r="AD14" s="883"/>
      <c r="AE14" s="883"/>
      <c r="AF14" s="883"/>
      <c r="AG14" s="1263"/>
      <c r="AH14" s="1263"/>
      <c r="AI14" s="1263"/>
      <c r="AJ14" s="1263"/>
      <c r="AK14" s="1263"/>
      <c r="AL14" s="883"/>
      <c r="AM14" s="1263"/>
    </row>
    <row r="15" spans="1:39" ht="11.25" customHeight="1" x14ac:dyDescent="0.2">
      <c r="A15" s="656"/>
      <c r="B15" s="1206">
        <v>2006</v>
      </c>
      <c r="C15" s="1207">
        <v>5602258</v>
      </c>
      <c r="D15" s="1206" t="s">
        <v>755</v>
      </c>
      <c r="E15" s="1211">
        <v>41.9</v>
      </c>
      <c r="F15" s="1206" t="s">
        <v>755</v>
      </c>
      <c r="G15" s="1236">
        <v>0.16</v>
      </c>
      <c r="H15" s="1206" t="s">
        <v>755</v>
      </c>
      <c r="I15" s="1244">
        <v>1.75</v>
      </c>
      <c r="J15" s="1206" t="s">
        <v>755</v>
      </c>
      <c r="K15" s="1210">
        <v>1E-3</v>
      </c>
      <c r="L15" s="1206" t="s">
        <v>740</v>
      </c>
      <c r="M15" s="1207">
        <f>C15*E15*G15*I15*K15</f>
        <v>65725.690856000001</v>
      </c>
      <c r="N15" s="1265" t="s">
        <v>738</v>
      </c>
      <c r="O15" s="1207">
        <v>11.265631541818182</v>
      </c>
      <c r="P15" s="1206" t="s">
        <v>740</v>
      </c>
      <c r="Q15" s="1207">
        <f>M15-O15</f>
        <v>65714.425224458188</v>
      </c>
      <c r="R15" s="1207" t="s">
        <v>755</v>
      </c>
      <c r="S15" s="1236">
        <v>0</v>
      </c>
      <c r="T15" s="1206" t="s">
        <v>755</v>
      </c>
      <c r="U15" s="1244">
        <v>5.0000000000000001E-3</v>
      </c>
      <c r="V15" s="1206" t="s">
        <v>755</v>
      </c>
      <c r="W15" s="1250">
        <f>44/28</f>
        <v>1.5714285714285714</v>
      </c>
      <c r="X15" s="1206" t="s">
        <v>740</v>
      </c>
      <c r="Y15" s="1211">
        <f>Q15*(1-S15)*U15*W15</f>
        <v>516.32762676360005</v>
      </c>
      <c r="Z15" s="1206" t="s">
        <v>755</v>
      </c>
      <c r="AA15" s="1207">
        <f>$I$54</f>
        <v>273</v>
      </c>
      <c r="AB15" s="1206" t="s">
        <v>755</v>
      </c>
      <c r="AC15" s="1214">
        <f>1/1000000</f>
        <v>9.9999999999999995E-7</v>
      </c>
      <c r="AD15" s="1206" t="s">
        <v>755</v>
      </c>
      <c r="AE15" s="1211">
        <f>12/44</f>
        <v>0.27272727272727271</v>
      </c>
      <c r="AF15" s="1206" t="s">
        <v>740</v>
      </c>
      <c r="AG15" s="1250">
        <f>Y15*AA$15*AC$15*AE$15</f>
        <v>3.8442938756308033E-2</v>
      </c>
      <c r="AH15" s="1267" t="s">
        <v>737</v>
      </c>
      <c r="AI15" s="1250">
        <f>0.00149671961912727*($I$54/310)</f>
        <v>1.3180788903927247E-3</v>
      </c>
      <c r="AJ15" s="1267" t="s">
        <v>740</v>
      </c>
      <c r="AK15" s="1250">
        <f>AG15+AI15</f>
        <v>3.9761017646700758E-2</v>
      </c>
      <c r="AL15" s="1267" t="s">
        <v>740</v>
      </c>
      <c r="AM15" s="1269">
        <f>AK15/AE15</f>
        <v>0.14579039803790278</v>
      </c>
    </row>
    <row r="16" spans="1:39" ht="11.25" customHeight="1" x14ac:dyDescent="0.2">
      <c r="B16" s="161"/>
      <c r="C16" s="161"/>
      <c r="D16" s="161"/>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row>
    <row r="17" spans="2:30" ht="11.25" customHeight="1" x14ac:dyDescent="0.2">
      <c r="B17" s="161"/>
      <c r="C17" s="161"/>
      <c r="D17" s="161"/>
      <c r="E17" s="161"/>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c r="AD17" s="161"/>
    </row>
    <row r="18" spans="2:30" ht="16.5" customHeight="1" x14ac:dyDescent="0.35">
      <c r="B18" s="1270" t="s">
        <v>1175</v>
      </c>
      <c r="C18" s="1271"/>
      <c r="D18" s="1271"/>
      <c r="E18" s="1271"/>
      <c r="F18" s="1271"/>
      <c r="G18" s="1271"/>
      <c r="H18" s="1271"/>
      <c r="I18" s="1271"/>
      <c r="J18" s="1271"/>
      <c r="K18" s="1271"/>
      <c r="L18" s="1271"/>
      <c r="M18" s="1271"/>
      <c r="N18" s="1271"/>
      <c r="O18" s="1271"/>
      <c r="P18" s="1271"/>
      <c r="Q18" s="1271"/>
      <c r="R18" s="1271"/>
      <c r="S18" s="1271"/>
      <c r="T18" s="1271"/>
      <c r="U18" s="1271"/>
      <c r="V18" s="1271"/>
      <c r="W18" s="1271"/>
      <c r="X18" s="1271"/>
      <c r="Y18" s="1271"/>
      <c r="Z18" s="1271"/>
      <c r="AA18" s="1272"/>
      <c r="AB18" s="161"/>
      <c r="AC18" s="161"/>
      <c r="AD18" s="161"/>
    </row>
    <row r="19" spans="2:30" ht="23.25" customHeight="1" x14ac:dyDescent="0.35">
      <c r="B19" s="1273" t="s">
        <v>655</v>
      </c>
      <c r="C19" s="1274" t="s">
        <v>1178</v>
      </c>
      <c r="D19" s="1275"/>
      <c r="E19" s="1274" t="s">
        <v>1179</v>
      </c>
      <c r="F19" s="1275"/>
      <c r="G19" s="1274" t="s">
        <v>1180</v>
      </c>
      <c r="H19" s="1275"/>
      <c r="I19" s="1274" t="s">
        <v>1181</v>
      </c>
      <c r="J19" s="1275"/>
      <c r="K19" s="1274" t="s">
        <v>354</v>
      </c>
      <c r="L19" s="1275"/>
      <c r="M19" s="1274" t="s">
        <v>1182</v>
      </c>
      <c r="N19" s="1275"/>
      <c r="O19" s="1274" t="s">
        <v>356</v>
      </c>
      <c r="P19" s="1275"/>
      <c r="Q19" s="1274" t="s">
        <v>1180</v>
      </c>
      <c r="R19" s="1275"/>
      <c r="S19" s="1274" t="s">
        <v>356</v>
      </c>
      <c r="T19" s="1275"/>
      <c r="U19" s="1274" t="s">
        <v>1183</v>
      </c>
      <c r="V19" s="1275"/>
      <c r="W19" s="1274" t="s">
        <v>1184</v>
      </c>
      <c r="X19" s="1275"/>
      <c r="Y19" s="1274" t="s">
        <v>356</v>
      </c>
      <c r="Z19" s="1275"/>
      <c r="AA19" s="1277" t="s">
        <v>356</v>
      </c>
      <c r="AB19" s="161"/>
      <c r="AC19" s="161"/>
      <c r="AD19" s="161"/>
    </row>
    <row r="20" spans="2:30" ht="11.25" customHeight="1" x14ac:dyDescent="0.3">
      <c r="B20" s="1278"/>
      <c r="C20" s="1279" t="s">
        <v>572</v>
      </c>
      <c r="D20" s="1204"/>
      <c r="E20" s="1279" t="s">
        <v>1186</v>
      </c>
      <c r="F20" s="1204"/>
      <c r="G20" s="1279" t="s">
        <v>1187</v>
      </c>
      <c r="H20" s="1204"/>
      <c r="I20" s="1279" t="s">
        <v>1188</v>
      </c>
      <c r="J20" s="1204"/>
      <c r="K20" s="1279" t="s">
        <v>1189</v>
      </c>
      <c r="L20" s="1204"/>
      <c r="M20" s="1279" t="s">
        <v>1190</v>
      </c>
      <c r="N20" s="1204"/>
      <c r="O20" s="1279" t="s">
        <v>1191</v>
      </c>
      <c r="P20" s="1204"/>
      <c r="Q20" s="1279" t="s">
        <v>1192</v>
      </c>
      <c r="R20" s="1204"/>
      <c r="S20" s="1279" t="s">
        <v>1193</v>
      </c>
      <c r="T20" s="1204"/>
      <c r="U20" s="1279" t="s">
        <v>1194</v>
      </c>
      <c r="V20" s="1204"/>
      <c r="W20" s="1204"/>
      <c r="X20" s="1204"/>
      <c r="Y20" s="1279" t="s">
        <v>810</v>
      </c>
      <c r="Z20" s="1204"/>
      <c r="AA20" s="1283" t="s">
        <v>1195</v>
      </c>
      <c r="AB20" s="161"/>
      <c r="AC20" s="161"/>
      <c r="AD20" s="161"/>
    </row>
    <row r="21" spans="2:30" ht="11.25" customHeight="1" x14ac:dyDescent="0.2">
      <c r="B21" s="1284">
        <v>2006</v>
      </c>
      <c r="C21" s="1285">
        <v>8935.92</v>
      </c>
      <c r="D21" s="1286" t="s">
        <v>755</v>
      </c>
      <c r="E21" s="1287">
        <v>5.3</v>
      </c>
      <c r="F21" s="1286" t="s">
        <v>755</v>
      </c>
      <c r="G21" s="1288">
        <v>1000</v>
      </c>
      <c r="H21" s="1286" t="s">
        <v>755</v>
      </c>
      <c r="I21" s="1289">
        <v>4.0999999999999996</v>
      </c>
      <c r="J21" s="1286" t="s">
        <v>755</v>
      </c>
      <c r="K21" s="1285">
        <v>0.25</v>
      </c>
      <c r="L21" s="1286" t="s">
        <v>755</v>
      </c>
      <c r="M21" s="1290">
        <v>0.33</v>
      </c>
      <c r="N21" s="1286" t="s">
        <v>740</v>
      </c>
      <c r="O21" s="1291">
        <f>C21*$E$23*$I$23*$M$23*$K$23*$G$23</f>
        <v>0</v>
      </c>
      <c r="P21" s="1286" t="s">
        <v>755</v>
      </c>
      <c r="Q21" s="1286">
        <v>9.9999999999999998E-13</v>
      </c>
      <c r="R21" s="1292" t="s">
        <v>740</v>
      </c>
      <c r="S21" s="1285">
        <f>O21*Q21</f>
        <v>0</v>
      </c>
      <c r="T21" s="1286" t="s">
        <v>755</v>
      </c>
      <c r="U21" s="1291">
        <f>$I$53</f>
        <v>27.9</v>
      </c>
      <c r="V21" s="1286" t="s">
        <v>755</v>
      </c>
      <c r="W21" s="1285">
        <f>12/44</f>
        <v>0.27272727272727271</v>
      </c>
      <c r="X21" s="1292" t="s">
        <v>740</v>
      </c>
      <c r="Y21" s="1293">
        <f>S21*U$21*W$21</f>
        <v>0</v>
      </c>
      <c r="Z21" s="1292" t="s">
        <v>740</v>
      </c>
      <c r="AA21" s="1294">
        <f>Y21*44/12</f>
        <v>0</v>
      </c>
      <c r="AB21" s="161"/>
      <c r="AC21" s="161"/>
      <c r="AD21" s="161"/>
    </row>
    <row r="22" spans="2:30" ht="11.25" customHeight="1" x14ac:dyDescent="0.2">
      <c r="B22" s="1295"/>
      <c r="C22" s="1296"/>
      <c r="D22" s="1296"/>
      <c r="E22" s="1296"/>
      <c r="F22" s="1296"/>
      <c r="G22" s="1296"/>
      <c r="H22" s="1296"/>
      <c r="I22" s="1296"/>
      <c r="J22" s="1296"/>
      <c r="K22" s="1296"/>
      <c r="L22" s="1296"/>
      <c r="M22" s="1296"/>
      <c r="N22" s="1296"/>
      <c r="O22" s="1296"/>
      <c r="P22" s="1296"/>
      <c r="Q22" s="1296"/>
      <c r="R22" s="1296"/>
      <c r="S22" s="1296"/>
      <c r="T22" s="1296"/>
      <c r="U22" s="1296"/>
      <c r="V22" s="1296"/>
      <c r="W22" s="1296"/>
      <c r="X22" s="1296"/>
      <c r="Y22" s="1296"/>
      <c r="Z22" s="1296"/>
      <c r="AA22" s="1297"/>
      <c r="AB22" s="161"/>
      <c r="AC22" s="161"/>
      <c r="AD22" s="161"/>
    </row>
    <row r="23" spans="2:30" ht="11.25" customHeight="1" x14ac:dyDescent="0.2">
      <c r="B23" s="161"/>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row>
    <row r="24" spans="2:30" ht="11.25" customHeight="1" x14ac:dyDescent="0.2">
      <c r="B24" s="161"/>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row>
    <row r="25" spans="2:30" ht="18" customHeight="1" x14ac:dyDescent="0.35">
      <c r="B25" s="1270" t="s">
        <v>1203</v>
      </c>
      <c r="C25" s="1271"/>
      <c r="D25" s="1271"/>
      <c r="E25" s="1271"/>
      <c r="F25" s="1271"/>
      <c r="G25" s="1271"/>
      <c r="H25" s="1271"/>
      <c r="I25" s="1271"/>
      <c r="J25" s="1271"/>
      <c r="K25" s="1271"/>
      <c r="L25" s="1271"/>
      <c r="M25" s="1271"/>
      <c r="N25" s="1271"/>
      <c r="O25" s="1271"/>
      <c r="P25" s="1271"/>
      <c r="Q25" s="1271"/>
      <c r="R25" s="1271"/>
      <c r="S25" s="1271"/>
      <c r="T25" s="1271"/>
      <c r="U25" s="1271"/>
      <c r="V25" s="1271"/>
      <c r="W25" s="1271"/>
      <c r="X25" s="1271"/>
      <c r="Y25" s="1271"/>
      <c r="Z25" s="1271"/>
      <c r="AA25" s="1272"/>
      <c r="AB25" s="161"/>
      <c r="AC25" s="161"/>
      <c r="AD25" s="161"/>
    </row>
    <row r="26" spans="2:30" ht="11.25" customHeight="1" x14ac:dyDescent="0.35">
      <c r="B26" s="1273" t="s">
        <v>655</v>
      </c>
      <c r="C26" s="1274" t="s">
        <v>1178</v>
      </c>
      <c r="D26" s="1275"/>
      <c r="E26" s="1274" t="s">
        <v>1179</v>
      </c>
      <c r="F26" s="1275"/>
      <c r="G26" s="1274" t="s">
        <v>1180</v>
      </c>
      <c r="H26" s="1275"/>
      <c r="I26" s="1274" t="s">
        <v>1181</v>
      </c>
      <c r="J26" s="1275"/>
      <c r="K26" s="1274" t="s">
        <v>354</v>
      </c>
      <c r="L26" s="1275"/>
      <c r="M26" s="1274" t="s">
        <v>1182</v>
      </c>
      <c r="N26" s="1275"/>
      <c r="O26" s="1274" t="s">
        <v>356</v>
      </c>
      <c r="P26" s="1275"/>
      <c r="Q26" s="1274" t="s">
        <v>1180</v>
      </c>
      <c r="R26" s="1275"/>
      <c r="S26" s="1274" t="s">
        <v>356</v>
      </c>
      <c r="T26" s="1275"/>
      <c r="U26" s="1274" t="s">
        <v>1205</v>
      </c>
      <c r="V26" s="1275"/>
      <c r="W26" s="1274" t="s">
        <v>1206</v>
      </c>
      <c r="X26" s="1275"/>
      <c r="Y26" s="1274" t="s">
        <v>356</v>
      </c>
      <c r="Z26" s="1275"/>
      <c r="AA26" s="1277" t="s">
        <v>356</v>
      </c>
      <c r="AB26" s="161"/>
      <c r="AC26" s="161"/>
      <c r="AD26" s="161"/>
    </row>
    <row r="27" spans="2:30" ht="11.25" customHeight="1" x14ac:dyDescent="0.3">
      <c r="B27" s="1278"/>
      <c r="C27" s="1279" t="s">
        <v>572</v>
      </c>
      <c r="D27" s="1204"/>
      <c r="E27" s="1279" t="s">
        <v>1207</v>
      </c>
      <c r="F27" s="1204"/>
      <c r="G27" s="1279" t="s">
        <v>1208</v>
      </c>
      <c r="H27" s="1204"/>
      <c r="I27" s="1279" t="s">
        <v>1188</v>
      </c>
      <c r="J27" s="1204"/>
      <c r="K27" s="1279" t="s">
        <v>1209</v>
      </c>
      <c r="L27" s="1204"/>
      <c r="M27" s="1279" t="s">
        <v>1190</v>
      </c>
      <c r="N27" s="1204"/>
      <c r="O27" s="1279" t="s">
        <v>1210</v>
      </c>
      <c r="P27" s="1204"/>
      <c r="Q27" s="1279" t="s">
        <v>1192</v>
      </c>
      <c r="R27" s="1204"/>
      <c r="S27" s="1279" t="s">
        <v>1211</v>
      </c>
      <c r="T27" s="1204"/>
      <c r="U27" s="1279" t="s">
        <v>1212</v>
      </c>
      <c r="V27" s="1204"/>
      <c r="W27" s="1204"/>
      <c r="X27" s="1204"/>
      <c r="Y27" s="1279" t="s">
        <v>810</v>
      </c>
      <c r="Z27" s="1204"/>
      <c r="AA27" s="1283" t="s">
        <v>1213</v>
      </c>
      <c r="AB27" s="161"/>
      <c r="AC27" s="161"/>
      <c r="AD27" s="161"/>
    </row>
    <row r="28" spans="2:30" ht="11.25" customHeight="1" x14ac:dyDescent="0.2">
      <c r="B28" s="1284">
        <v>2006</v>
      </c>
      <c r="C28" s="1291">
        <f>355987</f>
        <v>355987</v>
      </c>
      <c r="D28" s="1286" t="s">
        <v>755</v>
      </c>
      <c r="E28" s="1287">
        <v>12.5</v>
      </c>
      <c r="F28" s="1286" t="s">
        <v>755</v>
      </c>
      <c r="G28" s="1291">
        <v>1000</v>
      </c>
      <c r="H28" s="1286" t="s">
        <v>755</v>
      </c>
      <c r="I28" s="1289">
        <v>4.0999999999999996</v>
      </c>
      <c r="J28" s="1286" t="s">
        <v>755</v>
      </c>
      <c r="K28" s="1285">
        <v>0.25</v>
      </c>
      <c r="L28" s="1286" t="s">
        <v>755</v>
      </c>
      <c r="M28" s="1290">
        <v>0.25</v>
      </c>
      <c r="N28" s="1286" t="s">
        <v>740</v>
      </c>
      <c r="O28" s="1291">
        <f>C28*$E$28*$I$28*$M$28*$K$28*$G$28</f>
        <v>1140270859.375</v>
      </c>
      <c r="P28" s="1286" t="s">
        <v>755</v>
      </c>
      <c r="Q28" s="1300">
        <v>9.9999999999999998E-13</v>
      </c>
      <c r="R28" s="1292" t="s">
        <v>740</v>
      </c>
      <c r="S28" s="1302">
        <f>O28*Q28</f>
        <v>1.1402708593750001E-3</v>
      </c>
      <c r="T28" s="1286" t="s">
        <v>755</v>
      </c>
      <c r="U28" s="1291">
        <f>$I$53</f>
        <v>27.9</v>
      </c>
      <c r="V28" s="1286" t="s">
        <v>755</v>
      </c>
      <c r="W28" s="1285">
        <f>12/44</f>
        <v>0.27272727272727271</v>
      </c>
      <c r="X28" s="1292" t="s">
        <v>740</v>
      </c>
      <c r="Y28" s="1293">
        <f>S28*U$28*W$28</f>
        <v>8.6764246299715891E-3</v>
      </c>
      <c r="Z28" s="1292" t="s">
        <v>740</v>
      </c>
      <c r="AA28" s="1294">
        <f>Y28*(44/12)</f>
        <v>3.181355697656249E-2</v>
      </c>
      <c r="AB28" s="161"/>
      <c r="AC28" s="161"/>
      <c r="AD28" s="161"/>
    </row>
    <row r="29" spans="2:30" ht="11.25" customHeight="1" x14ac:dyDescent="0.2">
      <c r="B29" s="1295"/>
      <c r="C29" s="1296"/>
      <c r="D29" s="1296"/>
      <c r="E29" s="1296"/>
      <c r="F29" s="1296"/>
      <c r="G29" s="1296"/>
      <c r="H29" s="1296"/>
      <c r="I29" s="1296"/>
      <c r="J29" s="1296"/>
      <c r="K29" s="1296"/>
      <c r="L29" s="1296"/>
      <c r="M29" s="1296"/>
      <c r="N29" s="1296"/>
      <c r="O29" s="1296"/>
      <c r="P29" s="1296"/>
      <c r="Q29" s="1296"/>
      <c r="R29" s="1296"/>
      <c r="S29" s="1296"/>
      <c r="T29" s="1296"/>
      <c r="U29" s="1296"/>
      <c r="V29" s="1296"/>
      <c r="W29" s="1296"/>
      <c r="X29" s="1296"/>
      <c r="Y29" s="1296"/>
      <c r="Z29" s="1296"/>
      <c r="AA29" s="1297"/>
      <c r="AB29" s="161"/>
      <c r="AC29" s="161"/>
      <c r="AD29" s="161"/>
    </row>
    <row r="30" spans="2:30" ht="11.25" customHeight="1" x14ac:dyDescent="0.2">
      <c r="B30" s="161"/>
      <c r="C30" s="161"/>
      <c r="D30" s="161"/>
      <c r="E30" s="161"/>
      <c r="F30" s="161"/>
      <c r="G30" s="161"/>
      <c r="H30" s="161"/>
      <c r="I30" s="161"/>
      <c r="J30" s="161"/>
      <c r="K30" s="161"/>
      <c r="L30" s="161"/>
      <c r="M30" s="161"/>
      <c r="N30" s="161"/>
      <c r="O30" s="161"/>
      <c r="P30" s="161"/>
      <c r="Q30" s="161"/>
      <c r="R30" s="161"/>
      <c r="S30" s="161"/>
      <c r="T30" s="161"/>
      <c r="U30" s="161"/>
      <c r="V30" s="161"/>
      <c r="W30" s="161"/>
      <c r="X30" s="161"/>
      <c r="Y30" s="161"/>
      <c r="Z30" s="161"/>
      <c r="AA30" s="161"/>
      <c r="AB30" s="161"/>
      <c r="AC30" s="161"/>
      <c r="AD30" s="161"/>
    </row>
    <row r="31" spans="2:30" ht="11.25" customHeight="1" x14ac:dyDescent="0.2">
      <c r="B31" s="161"/>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row>
    <row r="32" spans="2:30" ht="16.5" customHeight="1" x14ac:dyDescent="0.35">
      <c r="B32" s="1313" t="s">
        <v>1221</v>
      </c>
      <c r="C32" s="1315"/>
      <c r="D32" s="1315"/>
      <c r="E32" s="1315"/>
      <c r="F32" s="1315"/>
      <c r="G32" s="1315"/>
      <c r="H32" s="1315"/>
      <c r="I32" s="1315"/>
      <c r="J32" s="1315"/>
      <c r="K32" s="1315"/>
      <c r="L32" s="1315"/>
      <c r="M32" s="1315"/>
      <c r="N32" s="1315"/>
      <c r="O32" s="1315"/>
      <c r="P32" s="1315"/>
      <c r="Q32" s="1315"/>
      <c r="R32" s="1315"/>
      <c r="S32" s="1315"/>
      <c r="T32" s="1315"/>
      <c r="U32" s="1315"/>
      <c r="V32" s="1315"/>
      <c r="W32" s="1315"/>
      <c r="X32" s="1315"/>
      <c r="Y32" s="1315"/>
      <c r="Z32" s="1315"/>
      <c r="AA32" s="1315"/>
      <c r="AB32" s="1315"/>
      <c r="AC32" s="1319"/>
      <c r="AD32" s="161"/>
    </row>
    <row r="33" spans="2:30" ht="23.25" customHeight="1" x14ac:dyDescent="0.35">
      <c r="B33" s="1273" t="s">
        <v>655</v>
      </c>
      <c r="C33" s="1865" t="s">
        <v>1178</v>
      </c>
      <c r="D33" s="1866"/>
      <c r="E33" s="1867"/>
      <c r="F33" s="161"/>
      <c r="G33" s="1274" t="s">
        <v>1179</v>
      </c>
      <c r="H33" s="1275"/>
      <c r="I33" s="1274" t="s">
        <v>1180</v>
      </c>
      <c r="J33" s="1275"/>
      <c r="K33" s="1274" t="s">
        <v>1232</v>
      </c>
      <c r="L33" s="1275"/>
      <c r="M33" s="1274" t="s">
        <v>354</v>
      </c>
      <c r="N33" s="1275"/>
      <c r="O33" s="1274" t="s">
        <v>1235</v>
      </c>
      <c r="P33" s="1275"/>
      <c r="Q33" s="1274" t="s">
        <v>356</v>
      </c>
      <c r="R33" s="1275"/>
      <c r="S33" s="1274" t="s">
        <v>1180</v>
      </c>
      <c r="T33" s="1275"/>
      <c r="U33" s="1274" t="s">
        <v>356</v>
      </c>
      <c r="V33" s="1275"/>
      <c r="W33" s="1274" t="s">
        <v>1238</v>
      </c>
      <c r="X33" s="1275"/>
      <c r="Y33" s="1274" t="s">
        <v>1240</v>
      </c>
      <c r="Z33" s="1275"/>
      <c r="AA33" s="1274" t="s">
        <v>356</v>
      </c>
      <c r="AB33" s="1275"/>
      <c r="AC33" s="1277" t="s">
        <v>356</v>
      </c>
      <c r="AD33" s="161"/>
    </row>
    <row r="34" spans="2:30" ht="11.25" customHeight="1" x14ac:dyDescent="0.3">
      <c r="B34" s="1325"/>
      <c r="C34" s="1326" t="s">
        <v>1244</v>
      </c>
      <c r="D34" s="1327"/>
      <c r="E34" s="1326" t="s">
        <v>1249</v>
      </c>
      <c r="F34" s="1204"/>
      <c r="G34" s="161"/>
      <c r="H34" s="1327"/>
      <c r="I34" s="1327"/>
      <c r="J34" s="1327"/>
      <c r="K34" s="1327"/>
      <c r="L34" s="1327"/>
      <c r="M34" s="1327"/>
      <c r="N34" s="1327"/>
      <c r="O34" s="1327"/>
      <c r="P34" s="1327"/>
      <c r="Q34" s="1327"/>
      <c r="R34" s="1327"/>
      <c r="S34" s="1327"/>
      <c r="T34" s="1327"/>
      <c r="U34" s="1327"/>
      <c r="V34" s="1327"/>
      <c r="W34" s="1327"/>
      <c r="X34" s="1327"/>
      <c r="Y34" s="1327"/>
      <c r="Z34" s="1327"/>
      <c r="AA34" s="1327"/>
      <c r="AB34" s="1327"/>
      <c r="AC34" s="1330"/>
      <c r="AD34" s="161"/>
    </row>
    <row r="35" spans="2:30" ht="11.25" customHeight="1" x14ac:dyDescent="0.3">
      <c r="B35" s="1278"/>
      <c r="C35" s="1332" t="s">
        <v>572</v>
      </c>
      <c r="D35" s="1334" t="s">
        <v>737</v>
      </c>
      <c r="E35" s="1332" t="s">
        <v>572</v>
      </c>
      <c r="F35" s="1204"/>
      <c r="G35" s="1279" t="s">
        <v>1253</v>
      </c>
      <c r="H35" s="1204"/>
      <c r="I35" s="1279" t="s">
        <v>1254</v>
      </c>
      <c r="J35" s="1204"/>
      <c r="K35" s="1279" t="s">
        <v>1255</v>
      </c>
      <c r="L35" s="1204"/>
      <c r="M35" s="1279" t="s">
        <v>1256</v>
      </c>
      <c r="N35" s="1204"/>
      <c r="O35" s="1279" t="s">
        <v>1190</v>
      </c>
      <c r="P35" s="1204"/>
      <c r="Q35" s="1279" t="s">
        <v>1257</v>
      </c>
      <c r="R35" s="1204"/>
      <c r="S35" s="1279" t="s">
        <v>1192</v>
      </c>
      <c r="T35" s="1204"/>
      <c r="U35" s="1279" t="s">
        <v>1258</v>
      </c>
      <c r="V35" s="1204"/>
      <c r="W35" s="1279" t="s">
        <v>1259</v>
      </c>
      <c r="X35" s="1204"/>
      <c r="Y35" s="1204"/>
      <c r="Z35" s="1204"/>
      <c r="AA35" s="1279" t="s">
        <v>810</v>
      </c>
      <c r="AB35" s="1204"/>
      <c r="AC35" s="1283" t="s">
        <v>1260</v>
      </c>
      <c r="AD35" s="161"/>
    </row>
    <row r="36" spans="2:30" ht="11.25" customHeight="1" x14ac:dyDescent="0.2">
      <c r="B36" s="1337">
        <v>2006</v>
      </c>
      <c r="C36" s="1340">
        <f>63326</f>
        <v>63326</v>
      </c>
      <c r="D36" s="1204"/>
      <c r="E36" s="1342">
        <f>246503</f>
        <v>246503</v>
      </c>
      <c r="F36" s="1204"/>
      <c r="G36" s="1287">
        <v>39</v>
      </c>
      <c r="H36" s="1286" t="s">
        <v>755</v>
      </c>
      <c r="I36" s="1291">
        <v>1000</v>
      </c>
      <c r="J36" s="1286" t="s">
        <v>755</v>
      </c>
      <c r="K36" s="1289">
        <v>0.3</v>
      </c>
      <c r="L36" s="1286" t="s">
        <v>755</v>
      </c>
      <c r="M36" s="1285">
        <v>0.6</v>
      </c>
      <c r="N36" s="1286" t="s">
        <v>755</v>
      </c>
      <c r="O36" s="1343">
        <v>5.1999999999999998E-2</v>
      </c>
      <c r="P36" s="1286" t="s">
        <v>740</v>
      </c>
      <c r="Q36" s="1340">
        <f>(C36+E36)*$G$36*$I$36*$K$36*$M$36*$O$36</f>
        <v>113099978.16</v>
      </c>
      <c r="R36" s="1286" t="s">
        <v>755</v>
      </c>
      <c r="S36" s="1300">
        <v>9.9999999999999998E-13</v>
      </c>
      <c r="T36" s="1292" t="s">
        <v>740</v>
      </c>
      <c r="U36" s="1350">
        <f>Q36*S36</f>
        <v>1.1309997815999999E-4</v>
      </c>
      <c r="V36" s="1286" t="s">
        <v>755</v>
      </c>
      <c r="W36" s="1291">
        <f>$I$53</f>
        <v>27.9</v>
      </c>
      <c r="X36" s="1286" t="s">
        <v>755</v>
      </c>
      <c r="Y36" s="1285">
        <f>12/44</f>
        <v>0.27272727272727271</v>
      </c>
      <c r="Z36" s="1292" t="s">
        <v>740</v>
      </c>
      <c r="AA36" s="1293">
        <f>U36*U$36*W$36</f>
        <v>3.5688578116821001E-7</v>
      </c>
      <c r="AB36" s="1292" t="s">
        <v>740</v>
      </c>
      <c r="AC36" s="1294">
        <f>AA36*(44/12)</f>
        <v>1.3085811976167699E-6</v>
      </c>
      <c r="AD36" s="161"/>
    </row>
    <row r="37" spans="2:30" ht="11.25" customHeight="1" x14ac:dyDescent="0.2">
      <c r="B37" s="1295"/>
      <c r="C37" s="1296"/>
      <c r="D37" s="1296"/>
      <c r="E37" s="1296"/>
      <c r="F37" s="1296"/>
      <c r="G37" s="1296"/>
      <c r="H37" s="1296"/>
      <c r="I37" s="1296"/>
      <c r="J37" s="1296"/>
      <c r="K37" s="1296"/>
      <c r="L37" s="1296"/>
      <c r="M37" s="1296"/>
      <c r="N37" s="1296"/>
      <c r="O37" s="1296"/>
      <c r="P37" s="1296"/>
      <c r="Q37" s="1296"/>
      <c r="R37" s="1296"/>
      <c r="S37" s="1296"/>
      <c r="T37" s="1296"/>
      <c r="U37" s="1296"/>
      <c r="V37" s="1296"/>
      <c r="W37" s="1296"/>
      <c r="X37" s="1296"/>
      <c r="Y37" s="1296"/>
      <c r="Z37" s="1296"/>
      <c r="AA37" s="1360"/>
      <c r="AB37" s="1296"/>
      <c r="AC37" s="1361"/>
      <c r="AD37" s="161"/>
    </row>
    <row r="38" spans="2:30" ht="11.25" customHeight="1" x14ac:dyDescent="0.2">
      <c r="B38" s="161"/>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row>
    <row r="39" spans="2:30" ht="11.25" customHeight="1" x14ac:dyDescent="0.2">
      <c r="B39" s="161"/>
      <c r="C39" s="161"/>
      <c r="D39" s="161"/>
      <c r="E39" s="161"/>
      <c r="F39" s="161"/>
      <c r="G39" s="161"/>
      <c r="H39" s="161"/>
      <c r="I39" s="161"/>
      <c r="J39" s="161"/>
      <c r="K39" s="161"/>
      <c r="L39" s="161"/>
      <c r="M39" s="161"/>
      <c r="N39" s="161"/>
      <c r="O39" s="161"/>
      <c r="P39" s="161"/>
      <c r="Q39" s="161"/>
      <c r="R39" s="161"/>
      <c r="S39" s="161"/>
      <c r="T39" s="161"/>
      <c r="U39" s="161"/>
      <c r="V39" s="161"/>
      <c r="W39" s="161"/>
      <c r="X39" s="161"/>
      <c r="Y39" s="161"/>
      <c r="Z39" s="161"/>
      <c r="AA39" s="161"/>
      <c r="AB39" s="161"/>
      <c r="AC39" s="161"/>
      <c r="AD39" s="161"/>
    </row>
    <row r="40" spans="2:30" ht="16.5" customHeight="1" x14ac:dyDescent="0.35">
      <c r="B40" s="1270" t="s">
        <v>1269</v>
      </c>
      <c r="C40" s="1271"/>
      <c r="D40" s="1271"/>
      <c r="E40" s="1271"/>
      <c r="F40" s="1271"/>
      <c r="G40" s="1271"/>
      <c r="H40" s="1271"/>
      <c r="I40" s="1271"/>
      <c r="J40" s="1271"/>
      <c r="K40" s="1271"/>
      <c r="L40" s="1271"/>
      <c r="M40" s="1271"/>
      <c r="N40" s="1271"/>
      <c r="O40" s="1271"/>
      <c r="P40" s="1271"/>
      <c r="Q40" s="1271"/>
      <c r="R40" s="1271"/>
      <c r="S40" s="1271"/>
      <c r="T40" s="1271"/>
      <c r="U40" s="1271"/>
      <c r="V40" s="1271"/>
      <c r="W40" s="1271"/>
      <c r="X40" s="1271"/>
      <c r="Y40" s="1271"/>
      <c r="Z40" s="1271"/>
      <c r="AA40" s="1272"/>
      <c r="AB40" s="161"/>
      <c r="AC40" s="161"/>
      <c r="AD40" s="161"/>
    </row>
    <row r="41" spans="2:30" ht="25.5" customHeight="1" x14ac:dyDescent="0.35">
      <c r="B41" s="1273" t="s">
        <v>655</v>
      </c>
      <c r="C41" s="1274" t="s">
        <v>1178</v>
      </c>
      <c r="D41" s="1275"/>
      <c r="E41" s="1274" t="s">
        <v>1179</v>
      </c>
      <c r="F41" s="1275"/>
      <c r="G41" s="1274" t="s">
        <v>1180</v>
      </c>
      <c r="H41" s="1275"/>
      <c r="I41" s="1274" t="s">
        <v>1181</v>
      </c>
      <c r="J41" s="1275"/>
      <c r="K41" s="1274" t="s">
        <v>354</v>
      </c>
      <c r="L41" s="1275"/>
      <c r="M41" s="1274" t="s">
        <v>1182</v>
      </c>
      <c r="N41" s="1275"/>
      <c r="O41" s="1274" t="s">
        <v>356</v>
      </c>
      <c r="P41" s="1275"/>
      <c r="Q41" s="1274" t="s">
        <v>1180</v>
      </c>
      <c r="R41" s="1275"/>
      <c r="S41" s="1274" t="s">
        <v>356</v>
      </c>
      <c r="T41" s="1275"/>
      <c r="U41" s="1274" t="s">
        <v>1273</v>
      </c>
      <c r="V41" s="1275"/>
      <c r="W41" s="1274" t="s">
        <v>1274</v>
      </c>
      <c r="X41" s="1275"/>
      <c r="Y41" s="1274" t="s">
        <v>356</v>
      </c>
      <c r="Z41" s="1275"/>
      <c r="AA41" s="1277" t="s">
        <v>356</v>
      </c>
      <c r="AB41" s="161"/>
      <c r="AC41" s="161"/>
      <c r="AD41" s="161"/>
    </row>
    <row r="42" spans="2:30" ht="11.25" customHeight="1" x14ac:dyDescent="0.3">
      <c r="B42" s="1278"/>
      <c r="C42" s="1279" t="s">
        <v>572</v>
      </c>
      <c r="D42" s="1204"/>
      <c r="E42" s="1279" t="s">
        <v>1276</v>
      </c>
      <c r="F42" s="1204"/>
      <c r="G42" s="1279" t="s">
        <v>1277</v>
      </c>
      <c r="H42" s="1204"/>
      <c r="I42" s="1279" t="s">
        <v>1188</v>
      </c>
      <c r="J42" s="1204"/>
      <c r="K42" s="1279" t="s">
        <v>1278</v>
      </c>
      <c r="L42" s="1204"/>
      <c r="M42" s="1279" t="s">
        <v>1190</v>
      </c>
      <c r="N42" s="1204"/>
      <c r="O42" s="1279" t="s">
        <v>1279</v>
      </c>
      <c r="P42" s="1204"/>
      <c r="Q42" s="1279" t="s">
        <v>1192</v>
      </c>
      <c r="R42" s="1204"/>
      <c r="S42" s="1279" t="s">
        <v>1281</v>
      </c>
      <c r="T42" s="1204"/>
      <c r="U42" s="1279" t="s">
        <v>1282</v>
      </c>
      <c r="V42" s="1204"/>
      <c r="W42" s="1204"/>
      <c r="X42" s="1204"/>
      <c r="Y42" s="1279" t="s">
        <v>810</v>
      </c>
      <c r="Z42" s="1204"/>
      <c r="AA42" s="1283" t="s">
        <v>1283</v>
      </c>
      <c r="AB42" s="161"/>
      <c r="AC42" s="161"/>
      <c r="AD42" s="161"/>
    </row>
    <row r="43" spans="2:30" ht="11.25" customHeight="1" x14ac:dyDescent="0.2">
      <c r="B43" s="1284">
        <v>2006</v>
      </c>
      <c r="C43" s="1302">
        <f>0</f>
        <v>0</v>
      </c>
      <c r="D43" s="1286" t="s">
        <v>755</v>
      </c>
      <c r="E43" s="1365">
        <v>9.11</v>
      </c>
      <c r="F43" s="1286" t="s">
        <v>755</v>
      </c>
      <c r="G43" s="1291">
        <v>1000</v>
      </c>
      <c r="H43" s="1286" t="s">
        <v>755</v>
      </c>
      <c r="I43" s="1289">
        <v>5</v>
      </c>
      <c r="J43" s="1286" t="s">
        <v>755</v>
      </c>
      <c r="K43" s="1285">
        <v>0.25</v>
      </c>
      <c r="L43" s="1286" t="s">
        <v>755</v>
      </c>
      <c r="M43" s="1290">
        <v>0.05</v>
      </c>
      <c r="N43" s="1286" t="s">
        <v>740</v>
      </c>
      <c r="O43" s="1302">
        <f>C43*$E$43*$I$43*$M$43*$K$43*$G$43</f>
        <v>0</v>
      </c>
      <c r="P43" s="1286" t="s">
        <v>755</v>
      </c>
      <c r="Q43" s="1300">
        <v>9.9999999999999998E-13</v>
      </c>
      <c r="R43" s="1292" t="s">
        <v>740</v>
      </c>
      <c r="S43" s="1302">
        <f>O43*Q43</f>
        <v>0</v>
      </c>
      <c r="T43" s="1286" t="s">
        <v>755</v>
      </c>
      <c r="U43" s="1291">
        <f>$I$53</f>
        <v>27.9</v>
      </c>
      <c r="V43" s="1286" t="s">
        <v>755</v>
      </c>
      <c r="W43" s="1285">
        <f>12/44</f>
        <v>0.27272727272727271</v>
      </c>
      <c r="X43" s="1292" t="s">
        <v>740</v>
      </c>
      <c r="Y43" s="1293">
        <f>S43*U$43*W$43</f>
        <v>0</v>
      </c>
      <c r="Z43" s="1292" t="s">
        <v>740</v>
      </c>
      <c r="AA43" s="1294">
        <f>Y43*44/12</f>
        <v>0</v>
      </c>
      <c r="AB43" s="161"/>
      <c r="AC43" s="161"/>
      <c r="AD43" s="161"/>
    </row>
    <row r="44" spans="2:30" ht="11.25" customHeight="1" x14ac:dyDescent="0.2">
      <c r="B44" s="1295"/>
      <c r="C44" s="1296"/>
      <c r="D44" s="1296"/>
      <c r="E44" s="1296"/>
      <c r="F44" s="1296"/>
      <c r="G44" s="1296"/>
      <c r="H44" s="1296"/>
      <c r="I44" s="1296"/>
      <c r="J44" s="1296"/>
      <c r="K44" s="1296"/>
      <c r="L44" s="1296"/>
      <c r="M44" s="1296"/>
      <c r="N44" s="1296"/>
      <c r="O44" s="1296"/>
      <c r="P44" s="1296"/>
      <c r="Q44" s="1296"/>
      <c r="R44" s="1296"/>
      <c r="S44" s="1296"/>
      <c r="T44" s="1296"/>
      <c r="U44" s="1296"/>
      <c r="V44" s="1296"/>
      <c r="W44" s="1296"/>
      <c r="X44" s="1296"/>
      <c r="Y44" s="1296"/>
      <c r="Z44" s="1296"/>
      <c r="AA44" s="1297"/>
      <c r="AB44" s="161"/>
      <c r="AC44" s="161"/>
      <c r="AD44" s="161"/>
    </row>
    <row r="45" spans="2:30" ht="11.25" customHeight="1" x14ac:dyDescent="0.2">
      <c r="B45" s="161"/>
      <c r="C45" s="161"/>
      <c r="D45" s="161"/>
      <c r="E45" s="161"/>
      <c r="F45" s="161"/>
      <c r="G45" s="161"/>
      <c r="H45" s="161"/>
      <c r="I45" s="161"/>
      <c r="J45" s="161"/>
      <c r="K45" s="161"/>
      <c r="L45" s="161"/>
      <c r="M45" s="161"/>
      <c r="N45" s="161"/>
      <c r="O45" s="161"/>
      <c r="P45" s="161"/>
      <c r="Q45" s="161"/>
      <c r="R45" s="161"/>
      <c r="S45" s="161"/>
      <c r="T45" s="161"/>
      <c r="U45" s="161"/>
      <c r="V45" s="161"/>
      <c r="W45" s="161"/>
      <c r="X45" s="161"/>
      <c r="Y45" s="161"/>
      <c r="Z45" s="161"/>
      <c r="AA45" s="161"/>
      <c r="AB45" s="161"/>
      <c r="AC45" s="161"/>
      <c r="AD45" s="161"/>
    </row>
    <row r="46" spans="2:30" ht="11.25" customHeight="1" x14ac:dyDescent="0.2">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row>
    <row r="47" spans="2:30" ht="11.25" customHeight="1" x14ac:dyDescent="0.2"/>
    <row r="48" spans="2:30" ht="12.75" customHeight="1" x14ac:dyDescent="0.25">
      <c r="B48" s="1868" t="s">
        <v>1291</v>
      </c>
      <c r="C48" s="1766"/>
      <c r="D48" s="1766"/>
      <c r="E48" s="1766"/>
      <c r="F48" s="1766"/>
      <c r="G48" s="1766"/>
      <c r="H48" s="1766"/>
      <c r="I48" s="1766"/>
      <c r="J48" s="1766"/>
      <c r="K48" s="1766"/>
      <c r="L48" s="1766"/>
      <c r="M48" s="1766"/>
      <c r="N48" s="1766"/>
    </row>
    <row r="49" spans="2:19" ht="11.25" customHeight="1" x14ac:dyDescent="0.2"/>
    <row r="50" spans="2:19" ht="15" customHeight="1" x14ac:dyDescent="0.3">
      <c r="B50" s="1369" t="s">
        <v>840</v>
      </c>
      <c r="C50" s="1369">
        <v>2006</v>
      </c>
      <c r="H50" s="1769" t="s">
        <v>1</v>
      </c>
      <c r="I50" s="1759"/>
    </row>
    <row r="51" spans="2:19" ht="12.75" customHeight="1" x14ac:dyDescent="0.25">
      <c r="B51" s="1370" t="s">
        <v>1295</v>
      </c>
      <c r="C51" s="1371">
        <f>Y6</f>
        <v>0.50061896535982497</v>
      </c>
      <c r="D51" s="1372"/>
      <c r="H51" s="235"/>
      <c r="I51" s="235"/>
    </row>
    <row r="52" spans="2:19" ht="12.75" customHeight="1" x14ac:dyDescent="0.25">
      <c r="B52" s="1370" t="s">
        <v>1298</v>
      </c>
      <c r="C52" s="1373">
        <f>U10+AM15</f>
        <v>0.15062335396934279</v>
      </c>
      <c r="D52" s="1372"/>
      <c r="H52" s="240" t="s">
        <v>433</v>
      </c>
      <c r="I52" s="241">
        <f>Summary!$E4</f>
        <v>1</v>
      </c>
    </row>
    <row r="53" spans="2:19" ht="12.75" customHeight="1" x14ac:dyDescent="0.3">
      <c r="B53" s="1369" t="s">
        <v>1303</v>
      </c>
      <c r="C53" s="1374">
        <f>SUM(C54:C57)</f>
        <v>3.1814865557760107E-2</v>
      </c>
      <c r="D53" s="1372"/>
      <c r="H53" s="240" t="s">
        <v>438</v>
      </c>
      <c r="I53" s="241">
        <f>Summary!$E5</f>
        <v>27.9</v>
      </c>
    </row>
    <row r="54" spans="2:19" ht="12.75" customHeight="1" x14ac:dyDescent="0.25">
      <c r="B54" s="1375" t="s">
        <v>1308</v>
      </c>
      <c r="C54" s="1371">
        <f>AA43</f>
        <v>0</v>
      </c>
      <c r="D54" s="1372"/>
      <c r="H54" s="240" t="s">
        <v>444</v>
      </c>
      <c r="I54" s="241">
        <f>Summary!$E6</f>
        <v>273</v>
      </c>
    </row>
    <row r="55" spans="2:19" ht="12.75" customHeight="1" x14ac:dyDescent="0.25">
      <c r="B55" s="1375" t="s">
        <v>1312</v>
      </c>
      <c r="C55" s="1371">
        <f>AA21</f>
        <v>0</v>
      </c>
      <c r="D55" s="1372"/>
      <c r="H55" s="240" t="s">
        <v>447</v>
      </c>
      <c r="I55" s="247">
        <f>Summary!$E7</f>
        <v>24300</v>
      </c>
    </row>
    <row r="56" spans="2:19" ht="12.75" customHeight="1" x14ac:dyDescent="0.25">
      <c r="B56" s="1375" t="s">
        <v>1072</v>
      </c>
      <c r="C56" s="1371">
        <f>AA28</f>
        <v>3.181355697656249E-2</v>
      </c>
      <c r="D56" s="1372"/>
      <c r="H56" s="240"/>
      <c r="I56" s="247"/>
    </row>
    <row r="57" spans="2:19" ht="13.5" customHeight="1" x14ac:dyDescent="0.25">
      <c r="B57" s="1375" t="s">
        <v>1318</v>
      </c>
      <c r="C57" s="1371">
        <f>AC36</f>
        <v>1.3085811976167699E-6</v>
      </c>
      <c r="D57" s="1372"/>
    </row>
    <row r="58" spans="2:19" ht="15" customHeight="1" x14ac:dyDescent="0.3">
      <c r="B58" s="1369" t="s">
        <v>999</v>
      </c>
      <c r="C58" s="1374">
        <f>SUM(C51:C53)</f>
        <v>0.6830571848869279</v>
      </c>
      <c r="D58" s="1372"/>
    </row>
    <row r="59" spans="2:19" ht="11.25" customHeight="1" x14ac:dyDescent="0.2">
      <c r="S59" s="1376">
        <f>SUM(C51:C53)</f>
        <v>0.6830571848869279</v>
      </c>
    </row>
    <row r="60" spans="2:19" ht="11.25" customHeight="1" x14ac:dyDescent="0.2"/>
    <row r="61" spans="2:19" ht="11.25" customHeight="1" x14ac:dyDescent="0.2"/>
    <row r="62" spans="2:19" ht="11.25" customHeight="1" x14ac:dyDescent="0.2"/>
    <row r="63" spans="2:19" ht="11.25" customHeight="1" x14ac:dyDescent="0.2"/>
    <row r="64" spans="2:19"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sheetData>
  <mergeCells count="4">
    <mergeCell ref="B4:I4"/>
    <mergeCell ref="C33:E33"/>
    <mergeCell ref="B48:N48"/>
    <mergeCell ref="H50:I50"/>
  </mergeCells>
  <conditionalFormatting sqref="B48:N48">
    <cfRule type="cellIs" dxfId="1" priority="1" operator="equal">
      <formula>0</formula>
    </cfRule>
    <cfRule type="cellIs" dxfId="0" priority="2" operator="notEqual">
      <formula>0</formula>
    </cfRule>
  </conditionalFormatting>
  <pageMargins left="0.7" right="0.7" top="0.75" bottom="0.75" header="0" footer="0"/>
  <pageSetup orientation="landscape"/>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1000"/>
  <sheetViews>
    <sheetView workbookViewId="0"/>
  </sheetViews>
  <sheetFormatPr defaultColWidth="16.83203125" defaultRowHeight="15" customHeight="1" x14ac:dyDescent="0.2"/>
  <cols>
    <col min="1" max="2" width="8" customWidth="1"/>
    <col min="3" max="3" width="20.83203125" customWidth="1"/>
    <col min="4" max="4" width="15.5" customWidth="1"/>
    <col min="5" max="5" width="12.6640625" customWidth="1"/>
    <col min="6" max="6" width="8" customWidth="1"/>
    <col min="7" max="7" width="18.33203125" customWidth="1"/>
    <col min="8" max="8" width="8" customWidth="1"/>
    <col min="9" max="9" width="11" customWidth="1"/>
    <col min="10" max="10" width="12.6640625" customWidth="1"/>
    <col min="11" max="24" width="8" customWidth="1"/>
  </cols>
  <sheetData>
    <row r="1" spans="1:24" ht="33" customHeight="1" x14ac:dyDescent="0.45">
      <c r="A1" s="11" t="s">
        <v>1125</v>
      </c>
      <c r="B1" s="13"/>
      <c r="G1" s="16"/>
      <c r="H1" s="24"/>
    </row>
    <row r="2" spans="1:24" ht="111.75" customHeight="1" x14ac:dyDescent="0.25">
      <c r="A2" s="3"/>
      <c r="B2" s="1220"/>
      <c r="C2" s="1220"/>
      <c r="D2" s="1222"/>
      <c r="E2" s="1222"/>
      <c r="F2" s="1222"/>
      <c r="G2" s="1222"/>
      <c r="H2" s="1225"/>
      <c r="I2" s="3"/>
      <c r="J2" s="1225"/>
      <c r="K2" s="1225"/>
      <c r="L2" s="1225"/>
      <c r="M2" s="3"/>
      <c r="N2" s="3"/>
      <c r="O2" s="3"/>
      <c r="P2" s="3"/>
      <c r="Q2" s="3"/>
      <c r="R2" s="3"/>
      <c r="S2" s="3"/>
      <c r="T2" s="3"/>
      <c r="U2" s="3"/>
      <c r="V2" s="3"/>
      <c r="W2" s="3"/>
      <c r="X2" s="3"/>
    </row>
    <row r="3" spans="1:24" ht="15.75" customHeight="1" x14ac:dyDescent="0.25">
      <c r="A3" s="3"/>
      <c r="B3" s="1226"/>
      <c r="C3" s="1228"/>
      <c r="D3" s="1229" t="s">
        <v>356</v>
      </c>
      <c r="E3" s="3"/>
      <c r="F3" s="3"/>
      <c r="G3" s="3"/>
      <c r="H3" s="3"/>
      <c r="I3" s="3"/>
      <c r="J3" s="3"/>
      <c r="K3" s="3"/>
      <c r="L3" s="3"/>
      <c r="M3" s="3"/>
      <c r="N3" s="3"/>
      <c r="O3" s="3"/>
      <c r="P3" s="3"/>
      <c r="Q3" s="3"/>
      <c r="R3" s="3"/>
      <c r="S3" s="3"/>
      <c r="T3" s="3"/>
      <c r="U3" s="3"/>
      <c r="V3" s="3"/>
      <c r="W3" s="3"/>
      <c r="X3" s="3"/>
    </row>
    <row r="4" spans="1:24" ht="18" customHeight="1" x14ac:dyDescent="0.35">
      <c r="A4" s="3"/>
      <c r="B4" s="1231"/>
      <c r="C4" s="992"/>
      <c r="D4" s="1232" t="s">
        <v>1134</v>
      </c>
      <c r="E4" s="3"/>
      <c r="F4" s="3"/>
      <c r="G4" s="3"/>
      <c r="H4" s="3"/>
      <c r="I4" s="3"/>
      <c r="J4" s="3"/>
      <c r="K4" s="3"/>
      <c r="L4" s="3"/>
      <c r="M4" s="3"/>
      <c r="N4" s="3"/>
      <c r="O4" s="3"/>
      <c r="P4" s="3"/>
      <c r="Q4" s="3"/>
      <c r="R4" s="3"/>
      <c r="S4" s="3"/>
      <c r="T4" s="3"/>
      <c r="U4" s="3"/>
      <c r="V4" s="3"/>
      <c r="W4" s="3"/>
      <c r="X4" s="3"/>
    </row>
    <row r="5" spans="1:24" ht="15" customHeight="1" x14ac:dyDescent="0.25">
      <c r="A5" s="3"/>
      <c r="B5" s="1231"/>
      <c r="C5" s="1234"/>
      <c r="D5" s="1235"/>
      <c r="E5" s="3"/>
      <c r="F5" s="3"/>
      <c r="G5" s="3"/>
      <c r="H5" s="3"/>
      <c r="I5" s="3"/>
      <c r="J5" s="3"/>
      <c r="K5" s="3"/>
      <c r="L5" s="3"/>
      <c r="M5" s="3"/>
      <c r="N5" s="3"/>
      <c r="O5" s="3"/>
      <c r="P5" s="3"/>
      <c r="Q5" s="3"/>
      <c r="R5" s="3"/>
      <c r="S5" s="3"/>
      <c r="T5" s="3"/>
      <c r="U5" s="3"/>
      <c r="V5" s="3"/>
      <c r="W5" s="3"/>
      <c r="X5" s="3"/>
    </row>
    <row r="6" spans="1:24" ht="15" customHeight="1" x14ac:dyDescent="0.25">
      <c r="A6" s="3"/>
      <c r="B6" s="1238"/>
      <c r="C6" s="1240"/>
      <c r="D6" s="1235"/>
      <c r="E6" s="3"/>
      <c r="F6" s="3"/>
      <c r="G6" s="3"/>
      <c r="H6" s="3"/>
      <c r="I6" s="3"/>
      <c r="J6" s="3"/>
      <c r="K6" s="3"/>
      <c r="L6" s="3"/>
      <c r="M6" s="3"/>
      <c r="N6" s="3"/>
      <c r="O6" s="3"/>
      <c r="P6" s="3"/>
      <c r="Q6" s="3"/>
      <c r="R6" s="3"/>
      <c r="S6" s="3"/>
      <c r="T6" s="3"/>
      <c r="U6" s="3"/>
      <c r="V6" s="3"/>
      <c r="W6" s="3"/>
      <c r="X6" s="3"/>
    </row>
    <row r="7" spans="1:24" ht="15" customHeight="1" x14ac:dyDescent="0.25">
      <c r="A7" s="3"/>
      <c r="B7" s="1242">
        <v>2006</v>
      </c>
      <c r="C7" s="1243" t="s">
        <v>1144</v>
      </c>
      <c r="D7" s="1235">
        <v>3.3000000000000002E-2</v>
      </c>
      <c r="E7" s="714"/>
      <c r="F7" s="3"/>
      <c r="G7" s="3"/>
      <c r="H7" s="3"/>
      <c r="I7" s="3"/>
      <c r="J7" s="3"/>
      <c r="K7" s="3"/>
      <c r="L7" s="3"/>
      <c r="M7" s="3"/>
      <c r="N7" s="3"/>
      <c r="O7" s="3"/>
      <c r="P7" s="3"/>
      <c r="Q7" s="3"/>
      <c r="R7" s="3"/>
      <c r="S7" s="3"/>
      <c r="T7" s="3"/>
      <c r="U7" s="3"/>
      <c r="V7" s="3"/>
      <c r="W7" s="3"/>
      <c r="X7" s="3"/>
    </row>
    <row r="8" spans="1:24" ht="15.75" customHeight="1" x14ac:dyDescent="0.25">
      <c r="A8" s="3"/>
      <c r="B8" s="1245"/>
      <c r="C8" s="1246"/>
      <c r="D8" s="1247"/>
      <c r="E8" s="3"/>
      <c r="F8" s="3"/>
      <c r="G8" s="3"/>
      <c r="H8" s="3"/>
      <c r="I8" s="3"/>
      <c r="J8" s="3"/>
      <c r="K8" s="3"/>
      <c r="L8" s="3"/>
      <c r="M8" s="3"/>
      <c r="N8" s="3"/>
      <c r="O8" s="3"/>
      <c r="P8" s="3"/>
      <c r="Q8" s="3"/>
      <c r="R8" s="3"/>
      <c r="S8" s="3"/>
      <c r="T8" s="3"/>
      <c r="U8" s="3"/>
      <c r="V8" s="3"/>
      <c r="W8" s="3"/>
      <c r="X8" s="3"/>
    </row>
    <row r="9" spans="1:24" ht="15.75" customHeight="1" x14ac:dyDescent="0.25">
      <c r="A9" s="3"/>
      <c r="B9" s="3"/>
      <c r="C9" s="3"/>
      <c r="D9" s="3"/>
      <c r="E9" s="3"/>
      <c r="F9" s="3"/>
      <c r="G9" s="3"/>
      <c r="H9" s="3"/>
      <c r="I9" s="3"/>
      <c r="J9" s="3"/>
      <c r="K9" s="3"/>
      <c r="L9" s="3"/>
      <c r="M9" s="3"/>
      <c r="N9" s="3"/>
      <c r="O9" s="3"/>
      <c r="P9" s="3"/>
      <c r="Q9" s="3"/>
      <c r="R9" s="3"/>
      <c r="S9" s="3"/>
      <c r="T9" s="3"/>
      <c r="U9" s="3"/>
      <c r="V9" s="3"/>
      <c r="W9" s="3"/>
      <c r="X9" s="3"/>
    </row>
    <row r="10" spans="1:24" ht="11.25" customHeight="1" x14ac:dyDescent="0.2"/>
    <row r="11" spans="1:24" ht="11.25" customHeight="1" x14ac:dyDescent="0.2"/>
    <row r="12" spans="1:24" ht="11.25" customHeight="1" x14ac:dyDescent="0.2"/>
    <row r="13" spans="1:24" ht="11.25" customHeight="1" x14ac:dyDescent="0.2"/>
    <row r="14" spans="1:24" ht="11.25" customHeight="1" x14ac:dyDescent="0.2"/>
    <row r="15" spans="1:24" ht="11.25" customHeight="1" x14ac:dyDescent="0.2"/>
    <row r="16" spans="1:24"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DD2CB-5499-44F7-9A7D-7EACFEEDE424}">
  <dimension ref="A1:AF1231"/>
  <sheetViews>
    <sheetView workbookViewId="0"/>
  </sheetViews>
  <sheetFormatPr defaultColWidth="16.83203125" defaultRowHeight="11.25" x14ac:dyDescent="0.2"/>
  <cols>
    <col min="1" max="1" width="6.6640625" customWidth="1"/>
    <col min="2" max="2" width="53.6640625" customWidth="1"/>
    <col min="3" max="3" width="31.6640625" bestFit="1" customWidth="1"/>
    <col min="4" max="4" width="20.83203125" customWidth="1"/>
  </cols>
  <sheetData>
    <row r="1" spans="1:32" ht="15"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2" ht="15.75" x14ac:dyDescent="0.25">
      <c r="A2" s="3"/>
      <c r="B2" s="1828" t="s">
        <v>1216</v>
      </c>
      <c r="C2" s="1829"/>
      <c r="D2" s="1829"/>
      <c r="E2" s="1829"/>
      <c r="F2" s="1829"/>
      <c r="G2" s="1829"/>
      <c r="H2" s="1830"/>
      <c r="I2" s="3"/>
      <c r="J2" s="1873" t="s">
        <v>1</v>
      </c>
      <c r="K2" s="1759"/>
      <c r="L2" s="3"/>
      <c r="M2" s="3"/>
      <c r="N2" s="3"/>
      <c r="O2" s="3"/>
      <c r="P2" s="3"/>
      <c r="Q2" s="3"/>
      <c r="R2" s="3"/>
      <c r="S2" s="3"/>
      <c r="T2" s="3"/>
      <c r="U2" s="3"/>
      <c r="V2" s="3"/>
      <c r="W2" s="3"/>
      <c r="X2" s="3"/>
      <c r="Y2" s="3"/>
      <c r="Z2" s="3"/>
      <c r="AA2" s="3"/>
      <c r="AB2" s="3"/>
      <c r="AC2" s="3"/>
      <c r="AD2" s="3"/>
      <c r="AE2" s="3"/>
      <c r="AF2" s="3"/>
    </row>
    <row r="3" spans="1:32" ht="15" x14ac:dyDescent="0.25">
      <c r="A3" s="3"/>
      <c r="B3" s="3"/>
      <c r="C3" s="3"/>
      <c r="D3" s="3"/>
      <c r="E3" s="3"/>
      <c r="F3" s="3"/>
      <c r="G3" s="3"/>
      <c r="H3" s="3"/>
      <c r="I3" s="3"/>
      <c r="J3" s="1585"/>
      <c r="K3" s="1585" t="str">
        <f>Summary!E3</f>
        <v>AR6 100-yr GWP</v>
      </c>
      <c r="L3" s="3"/>
      <c r="M3" s="3"/>
      <c r="N3" s="3"/>
      <c r="O3" s="3"/>
      <c r="P3" s="3"/>
      <c r="Q3" s="3"/>
      <c r="R3" s="3"/>
      <c r="S3" s="3"/>
      <c r="T3" s="3"/>
      <c r="U3" s="3"/>
      <c r="V3" s="3"/>
      <c r="W3" s="3"/>
      <c r="X3" s="3"/>
      <c r="Y3" s="3"/>
      <c r="Z3" s="3"/>
      <c r="AA3" s="3"/>
      <c r="AB3" s="3"/>
      <c r="AC3" s="3"/>
      <c r="AD3" s="3"/>
      <c r="AE3" s="3"/>
      <c r="AF3" s="3"/>
    </row>
    <row r="4" spans="1:32" ht="15" x14ac:dyDescent="0.25">
      <c r="A4" s="3"/>
      <c r="B4" s="3"/>
      <c r="C4" s="3"/>
      <c r="D4" s="3"/>
      <c r="E4" s="3"/>
      <c r="F4" s="3"/>
      <c r="G4" s="3"/>
      <c r="H4" s="3"/>
      <c r="I4" s="3"/>
      <c r="J4" s="1585" t="str">
        <f>Summary!C4</f>
        <v>CO2</v>
      </c>
      <c r="K4" s="1586">
        <f>Summary!E4</f>
        <v>1</v>
      </c>
      <c r="L4" s="3"/>
      <c r="M4" s="3"/>
      <c r="N4" s="3"/>
      <c r="O4" s="3"/>
      <c r="P4" s="3"/>
      <c r="Q4" s="3"/>
      <c r="R4" s="3"/>
      <c r="S4" s="3"/>
      <c r="T4" s="3"/>
      <c r="U4" s="3"/>
      <c r="V4" s="3"/>
      <c r="W4" s="3"/>
      <c r="X4" s="3"/>
      <c r="Y4" s="3"/>
      <c r="Z4" s="3"/>
      <c r="AA4" s="3"/>
      <c r="AB4" s="3"/>
      <c r="AC4" s="3"/>
      <c r="AD4" s="3"/>
      <c r="AE4" s="3"/>
      <c r="AF4" s="3"/>
    </row>
    <row r="5" spans="1:32" ht="15" x14ac:dyDescent="0.25">
      <c r="A5" s="3"/>
      <c r="B5" s="3"/>
      <c r="C5" s="3"/>
      <c r="D5" s="3"/>
      <c r="E5" s="3"/>
      <c r="F5" s="3"/>
      <c r="G5" s="3"/>
      <c r="H5" s="3"/>
      <c r="I5" s="3"/>
      <c r="J5" s="1585" t="str">
        <f>Summary!C5</f>
        <v>CH4</v>
      </c>
      <c r="K5" s="1586">
        <f>Summary!E5</f>
        <v>27.9</v>
      </c>
      <c r="L5" s="3"/>
      <c r="M5" s="3"/>
      <c r="N5" s="3"/>
      <c r="O5" s="3"/>
      <c r="P5" s="3"/>
      <c r="Q5" s="3"/>
      <c r="R5" s="3"/>
      <c r="S5" s="3"/>
      <c r="T5" s="3"/>
      <c r="U5" s="3"/>
      <c r="V5" s="3"/>
      <c r="W5" s="3"/>
      <c r="X5" s="3"/>
      <c r="Y5" s="3"/>
      <c r="Z5" s="3"/>
      <c r="AA5" s="3"/>
      <c r="AB5" s="3"/>
      <c r="AC5" s="3"/>
      <c r="AD5" s="3"/>
      <c r="AE5" s="3"/>
      <c r="AF5" s="3"/>
    </row>
    <row r="6" spans="1:32" ht="15" x14ac:dyDescent="0.25">
      <c r="A6" s="3"/>
      <c r="C6" s="3"/>
      <c r="D6" s="3"/>
      <c r="E6" s="3"/>
      <c r="F6" s="3"/>
      <c r="G6" s="3"/>
      <c r="H6" s="3"/>
      <c r="I6" s="3"/>
      <c r="J6" s="1585" t="str">
        <f>Summary!C6</f>
        <v>N2O</v>
      </c>
      <c r="K6" s="1586">
        <f>Summary!E6</f>
        <v>273</v>
      </c>
      <c r="L6" s="3"/>
      <c r="M6" s="3"/>
      <c r="N6" s="3"/>
      <c r="O6" s="3"/>
      <c r="P6" s="3"/>
      <c r="Q6" s="3"/>
      <c r="R6" s="3"/>
      <c r="S6" s="3"/>
      <c r="T6" s="3"/>
      <c r="U6" s="3"/>
      <c r="V6" s="3"/>
      <c r="W6" s="3"/>
      <c r="X6" s="3"/>
      <c r="Y6" s="3"/>
      <c r="Z6" s="3"/>
      <c r="AA6" s="3"/>
      <c r="AB6" s="3"/>
      <c r="AC6" s="3"/>
      <c r="AD6" s="3"/>
      <c r="AE6" s="3"/>
      <c r="AF6" s="3"/>
    </row>
    <row r="7" spans="1:32" ht="15" x14ac:dyDescent="0.25">
      <c r="A7" s="3"/>
      <c r="C7" s="3"/>
      <c r="D7" s="3"/>
      <c r="E7" s="3"/>
      <c r="F7" s="3"/>
      <c r="G7" s="3"/>
      <c r="H7" s="3"/>
      <c r="I7" s="3"/>
      <c r="J7" s="1585" t="str">
        <f>Summary!C7</f>
        <v>SF6</v>
      </c>
      <c r="K7" s="1587">
        <f>Summary!E7</f>
        <v>24300</v>
      </c>
      <c r="L7" s="3"/>
      <c r="M7" s="3"/>
      <c r="N7" s="3"/>
      <c r="O7" s="3"/>
      <c r="P7" s="3"/>
      <c r="Q7" s="3"/>
      <c r="R7" s="3"/>
      <c r="S7" s="3"/>
      <c r="T7" s="3"/>
      <c r="U7" s="3"/>
      <c r="V7" s="3"/>
      <c r="W7" s="3"/>
      <c r="X7" s="3"/>
      <c r="Y7" s="3"/>
      <c r="Z7" s="3"/>
      <c r="AA7" s="3"/>
      <c r="AB7" s="3"/>
      <c r="AC7" s="3"/>
      <c r="AD7" s="3"/>
      <c r="AE7" s="3"/>
      <c r="AF7" s="3"/>
    </row>
    <row r="8" spans="1:32" ht="15" x14ac:dyDescent="0.25">
      <c r="A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row>
    <row r="9" spans="1:32" ht="15" x14ac:dyDescent="0.25">
      <c r="A9" s="3"/>
      <c r="B9" s="1588" t="s">
        <v>512</v>
      </c>
      <c r="C9" s="1589"/>
      <c r="D9" s="1589"/>
      <c r="E9" s="1589"/>
      <c r="F9" s="1589"/>
      <c r="G9" s="1589"/>
      <c r="H9" s="1589"/>
      <c r="I9" s="1589"/>
      <c r="J9" s="1589"/>
      <c r="K9" s="1589"/>
      <c r="L9" s="1589"/>
      <c r="M9" s="1589"/>
      <c r="N9" s="1589"/>
      <c r="O9" s="1589"/>
      <c r="P9" s="1589"/>
      <c r="Q9" s="1589"/>
      <c r="R9" s="1589"/>
      <c r="S9" s="1589"/>
      <c r="T9" s="1590"/>
      <c r="U9" s="1590"/>
      <c r="V9" s="1590"/>
      <c r="W9" s="1590"/>
      <c r="X9" s="1590"/>
      <c r="Y9" s="1590"/>
      <c r="Z9" s="1590"/>
      <c r="AA9" s="1590"/>
      <c r="AB9" s="1590"/>
      <c r="AC9" s="1590"/>
      <c r="AD9" s="1590"/>
      <c r="AE9" s="1590"/>
      <c r="AF9" s="1590"/>
    </row>
    <row r="10" spans="1:32" ht="15"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ht="15" x14ac:dyDescent="0.25">
      <c r="A11" s="3"/>
      <c r="B11" s="1323" t="s">
        <v>1230</v>
      </c>
      <c r="C11" s="1591"/>
      <c r="D11" s="1591"/>
      <c r="E11" s="1591"/>
      <c r="F11" s="1591"/>
      <c r="G11" s="3"/>
      <c r="H11" s="3"/>
      <c r="I11" s="3"/>
      <c r="J11" s="3"/>
      <c r="K11" s="3"/>
      <c r="L11" s="3"/>
      <c r="M11" s="3"/>
      <c r="N11" s="3"/>
      <c r="O11" s="3"/>
      <c r="P11" s="3"/>
      <c r="Q11" s="3"/>
      <c r="R11" s="3"/>
      <c r="S11" s="3"/>
      <c r="T11" s="3"/>
      <c r="U11" s="3"/>
      <c r="V11" s="3"/>
      <c r="W11" s="3"/>
      <c r="X11" s="3"/>
      <c r="Y11" s="3"/>
      <c r="Z11" s="3"/>
      <c r="AA11" s="3"/>
      <c r="AB11" s="3"/>
      <c r="AC11" s="3"/>
      <c r="AD11" s="3"/>
      <c r="AE11" s="3"/>
      <c r="AF11" s="3"/>
    </row>
    <row r="12" spans="1:32" ht="48.75" x14ac:dyDescent="0.25">
      <c r="A12" s="3"/>
      <c r="B12" s="1592" t="s">
        <v>655</v>
      </c>
      <c r="C12" s="1592" t="s">
        <v>1243</v>
      </c>
      <c r="D12" s="1592" t="s">
        <v>1245</v>
      </c>
      <c r="E12" s="1592" t="s">
        <v>1246</v>
      </c>
      <c r="F12" s="1592" t="s">
        <v>1247</v>
      </c>
      <c r="G12" s="1592" t="s">
        <v>1248</v>
      </c>
      <c r="H12" s="3"/>
      <c r="I12" s="3"/>
      <c r="J12" s="3"/>
      <c r="K12" s="3"/>
      <c r="L12" s="3"/>
      <c r="M12" s="3"/>
      <c r="N12" s="3"/>
      <c r="O12" s="3"/>
      <c r="P12" s="3"/>
      <c r="Q12" s="3"/>
      <c r="R12" s="3"/>
      <c r="S12" s="3"/>
      <c r="T12" s="3"/>
      <c r="U12" s="3"/>
      <c r="V12" s="3"/>
      <c r="W12" s="3"/>
      <c r="X12" s="3"/>
      <c r="Y12" s="3"/>
      <c r="Z12" s="3"/>
      <c r="AA12" s="3"/>
      <c r="AB12" s="3"/>
      <c r="AC12" s="3"/>
      <c r="AD12" s="3"/>
      <c r="AE12" s="3"/>
      <c r="AF12" s="3"/>
    </row>
    <row r="13" spans="1:32" ht="15" x14ac:dyDescent="0.25">
      <c r="A13" s="3"/>
      <c r="B13" s="1593">
        <v>1990</v>
      </c>
      <c r="C13" s="1593">
        <v>77.749999999999986</v>
      </c>
      <c r="D13" s="1593">
        <v>1.7749999999999999</v>
      </c>
      <c r="E13" s="1593">
        <v>2.17</v>
      </c>
      <c r="F13" s="1593">
        <v>-0.48599999999999999</v>
      </c>
      <c r="G13" s="1593">
        <v>9.0999999999999998E-2</v>
      </c>
      <c r="H13" s="3"/>
      <c r="I13" s="3"/>
      <c r="J13" s="3"/>
      <c r="K13" s="3"/>
      <c r="L13" s="3"/>
      <c r="M13" s="3"/>
      <c r="N13" s="3"/>
      <c r="O13" s="3"/>
      <c r="P13" s="3"/>
      <c r="Q13" s="3"/>
      <c r="R13" s="3"/>
      <c r="S13" s="3"/>
      <c r="T13" s="3"/>
      <c r="U13" s="3"/>
      <c r="V13" s="3"/>
      <c r="W13" s="3"/>
      <c r="X13" s="3"/>
      <c r="Y13" s="3"/>
      <c r="Z13" s="3"/>
      <c r="AA13" s="3"/>
      <c r="AB13" s="3"/>
      <c r="AC13" s="3"/>
      <c r="AD13" s="3"/>
      <c r="AE13" s="3"/>
      <c r="AF13" s="3"/>
    </row>
    <row r="14" spans="1:32" ht="15" x14ac:dyDescent="0.25">
      <c r="A14" s="3"/>
      <c r="B14" s="1593">
        <v>1991</v>
      </c>
      <c r="C14" s="1593">
        <v>77.325999999999979</v>
      </c>
      <c r="D14" s="1593">
        <v>-0.42399999999999999</v>
      </c>
      <c r="E14" s="1593">
        <v>0.13900000000000001</v>
      </c>
      <c r="F14" s="1593">
        <v>-0.629</v>
      </c>
      <c r="G14" s="1593">
        <v>6.6000000000000003E-2</v>
      </c>
      <c r="H14" s="3"/>
      <c r="I14" s="3"/>
      <c r="J14" s="3"/>
      <c r="K14" s="3"/>
      <c r="L14" s="3"/>
      <c r="M14" s="3"/>
      <c r="N14" s="3"/>
      <c r="O14" s="3"/>
      <c r="P14" s="3"/>
      <c r="Q14" s="3"/>
      <c r="R14" s="3"/>
      <c r="S14" s="3"/>
      <c r="T14" s="3"/>
      <c r="U14" s="3"/>
      <c r="V14" s="3"/>
      <c r="W14" s="3"/>
      <c r="X14" s="3"/>
      <c r="Y14" s="3"/>
      <c r="Z14" s="3"/>
      <c r="AA14" s="3"/>
      <c r="AB14" s="3"/>
      <c r="AC14" s="3"/>
      <c r="AD14" s="3"/>
      <c r="AE14" s="3"/>
      <c r="AF14" s="3"/>
    </row>
    <row r="15" spans="1:32" ht="15" x14ac:dyDescent="0.25">
      <c r="A15" s="3"/>
      <c r="B15" s="1593">
        <v>1992</v>
      </c>
      <c r="C15" s="1593">
        <v>78.787999999999982</v>
      </c>
      <c r="D15" s="1593">
        <v>1.462</v>
      </c>
      <c r="E15" s="1593">
        <v>1.992</v>
      </c>
      <c r="F15" s="1593">
        <v>-0.57499999999999996</v>
      </c>
      <c r="G15" s="1593">
        <v>4.4999999999999998E-2</v>
      </c>
      <c r="H15" s="3"/>
      <c r="I15" s="3"/>
      <c r="J15" s="3"/>
      <c r="K15" s="3"/>
      <c r="L15" s="3"/>
      <c r="M15" s="3"/>
      <c r="N15" s="3"/>
      <c r="O15" s="3"/>
      <c r="P15" s="3"/>
      <c r="Q15" s="3"/>
      <c r="R15" s="3"/>
      <c r="S15" s="3"/>
      <c r="T15" s="3"/>
      <c r="U15" s="3"/>
      <c r="V15" s="3"/>
      <c r="W15" s="3"/>
      <c r="X15" s="3"/>
      <c r="Y15" s="3"/>
      <c r="Z15" s="3"/>
      <c r="AA15" s="3"/>
      <c r="AB15" s="3"/>
      <c r="AC15" s="3"/>
      <c r="AD15" s="3"/>
      <c r="AE15" s="3"/>
      <c r="AF15" s="3"/>
    </row>
    <row r="16" spans="1:32" ht="15" x14ac:dyDescent="0.25">
      <c r="A16" s="3"/>
      <c r="B16" s="1593">
        <v>1993</v>
      </c>
      <c r="C16" s="1593">
        <v>79.950999999999979</v>
      </c>
      <c r="D16" s="1593">
        <v>1.163</v>
      </c>
      <c r="E16" s="1593">
        <v>1.665</v>
      </c>
      <c r="F16" s="1593">
        <v>-0.53500000000000003</v>
      </c>
      <c r="G16" s="1593">
        <v>3.3000000000000002E-2</v>
      </c>
      <c r="H16" s="3"/>
      <c r="I16" s="3"/>
      <c r="J16" s="3"/>
      <c r="K16" s="3"/>
      <c r="L16" s="3"/>
      <c r="M16" s="3"/>
      <c r="N16" s="3"/>
      <c r="O16" s="3"/>
      <c r="P16" s="3"/>
      <c r="Q16" s="3"/>
      <c r="R16" s="3"/>
      <c r="S16" s="3"/>
      <c r="T16" s="3"/>
      <c r="U16" s="3"/>
      <c r="V16" s="3"/>
      <c r="W16" s="3"/>
      <c r="X16" s="3"/>
      <c r="Y16" s="3"/>
      <c r="Z16" s="3"/>
      <c r="AA16" s="3"/>
      <c r="AB16" s="3"/>
      <c r="AC16" s="3"/>
      <c r="AD16" s="3"/>
      <c r="AE16" s="3"/>
      <c r="AF16" s="3"/>
    </row>
    <row r="17" spans="1:32" ht="15" x14ac:dyDescent="0.25">
      <c r="A17" s="3"/>
      <c r="B17" s="1593">
        <v>1994</v>
      </c>
      <c r="C17" s="1593">
        <v>81.604999999999976</v>
      </c>
      <c r="D17" s="1593">
        <v>1.6539999999999999</v>
      </c>
      <c r="E17" s="1593">
        <v>2.0619999999999998</v>
      </c>
      <c r="F17" s="1593">
        <v>-0.45500000000000002</v>
      </c>
      <c r="G17" s="1593">
        <v>4.7E-2</v>
      </c>
      <c r="H17" s="3"/>
      <c r="I17" s="3"/>
      <c r="J17" s="3"/>
      <c r="K17" s="3"/>
      <c r="L17" s="3"/>
      <c r="M17" s="3"/>
      <c r="N17" s="3"/>
      <c r="O17" s="3"/>
      <c r="P17" s="3"/>
      <c r="Q17" s="3"/>
      <c r="R17" s="3"/>
      <c r="S17" s="3"/>
      <c r="T17" s="3"/>
      <c r="U17" s="3"/>
      <c r="V17" s="3"/>
      <c r="W17" s="3"/>
      <c r="X17" s="3"/>
      <c r="Y17" s="3"/>
      <c r="Z17" s="3"/>
      <c r="AA17" s="3"/>
      <c r="AB17" s="3"/>
      <c r="AC17" s="3"/>
      <c r="AD17" s="3"/>
      <c r="AE17" s="3"/>
      <c r="AF17" s="3"/>
    </row>
    <row r="18" spans="1:32" ht="15" x14ac:dyDescent="0.25">
      <c r="A18" s="3"/>
      <c r="B18" s="1593">
        <v>1995</v>
      </c>
      <c r="C18" s="1593">
        <v>82.650999999999982</v>
      </c>
      <c r="D18" s="1593">
        <v>1.046</v>
      </c>
      <c r="E18" s="1593">
        <v>1.4339999999999999</v>
      </c>
      <c r="F18" s="1593">
        <v>-0.42299999999999999</v>
      </c>
      <c r="G18" s="1593">
        <v>3.5000000000000003E-2</v>
      </c>
      <c r="H18" s="3"/>
      <c r="I18" s="3"/>
      <c r="J18" s="3"/>
      <c r="K18" s="3"/>
      <c r="L18" s="3"/>
      <c r="M18" s="3"/>
      <c r="N18" s="3"/>
      <c r="O18" s="3"/>
      <c r="P18" s="3"/>
      <c r="Q18" s="3"/>
      <c r="R18" s="3"/>
      <c r="S18" s="3"/>
      <c r="T18" s="3"/>
      <c r="U18" s="3"/>
      <c r="V18" s="3"/>
      <c r="W18" s="3"/>
      <c r="X18" s="3"/>
      <c r="Y18" s="3"/>
      <c r="Z18" s="3"/>
      <c r="AA18" s="3"/>
      <c r="AB18" s="3"/>
      <c r="AC18" s="3"/>
      <c r="AD18" s="3"/>
      <c r="AE18" s="3"/>
      <c r="AF18" s="3"/>
    </row>
    <row r="19" spans="1:32" ht="15" x14ac:dyDescent="0.25">
      <c r="A19" s="3"/>
      <c r="B19" s="1593">
        <v>1996</v>
      </c>
      <c r="C19" s="1593">
        <v>84.711999999999989</v>
      </c>
      <c r="D19" s="1593">
        <v>2.0609999999999999</v>
      </c>
      <c r="E19" s="1593">
        <v>2.38</v>
      </c>
      <c r="F19" s="1593">
        <v>-0.38500000000000001</v>
      </c>
      <c r="G19" s="1593">
        <v>6.6000000000000003E-2</v>
      </c>
      <c r="H19" s="3"/>
      <c r="I19" s="3"/>
      <c r="J19" s="3"/>
      <c r="K19" s="3"/>
      <c r="L19" s="3"/>
      <c r="M19" s="3"/>
      <c r="N19" s="3"/>
      <c r="O19" s="3"/>
      <c r="P19" s="3"/>
      <c r="Q19" s="3"/>
      <c r="R19" s="3"/>
      <c r="S19" s="3"/>
      <c r="T19" s="3"/>
      <c r="U19" s="3"/>
      <c r="V19" s="3"/>
      <c r="W19" s="3"/>
      <c r="X19" s="3"/>
      <c r="Y19" s="3"/>
      <c r="Z19" s="3"/>
      <c r="AA19" s="3"/>
      <c r="AB19" s="3"/>
      <c r="AC19" s="3"/>
      <c r="AD19" s="3"/>
      <c r="AE19" s="3"/>
      <c r="AF19" s="3"/>
    </row>
    <row r="20" spans="1:32" ht="15" x14ac:dyDescent="0.25">
      <c r="A20" s="3"/>
      <c r="B20" s="1593">
        <v>1997</v>
      </c>
      <c r="C20" s="1593">
        <v>86.071999999999989</v>
      </c>
      <c r="D20" s="1593">
        <v>1.36</v>
      </c>
      <c r="E20" s="1593">
        <v>1.9039999999999999</v>
      </c>
      <c r="F20" s="1593">
        <v>-0.56299999999999994</v>
      </c>
      <c r="G20" s="1593">
        <v>1.9E-2</v>
      </c>
      <c r="H20" s="3"/>
      <c r="I20" s="3"/>
      <c r="J20" s="3"/>
      <c r="K20" s="3"/>
      <c r="L20" s="3"/>
      <c r="M20" s="3"/>
      <c r="N20" s="3"/>
      <c r="O20" s="3"/>
      <c r="P20" s="3"/>
      <c r="Q20" s="3"/>
      <c r="R20" s="3"/>
      <c r="S20" s="3"/>
      <c r="T20" s="3"/>
      <c r="U20" s="3"/>
      <c r="V20" s="3"/>
      <c r="W20" s="3"/>
      <c r="X20" s="3"/>
      <c r="Y20" s="3"/>
      <c r="Z20" s="3"/>
      <c r="AA20" s="3"/>
      <c r="AB20" s="3"/>
      <c r="AC20" s="3"/>
      <c r="AD20" s="3"/>
      <c r="AE20" s="3"/>
      <c r="AF20" s="3"/>
    </row>
    <row r="21" spans="1:32" ht="15" x14ac:dyDescent="0.25">
      <c r="A21" s="3"/>
      <c r="B21" s="1593">
        <v>1998</v>
      </c>
      <c r="C21" s="1593">
        <v>87.058999999999983</v>
      </c>
      <c r="D21" s="1593">
        <v>0.98699999999999999</v>
      </c>
      <c r="E21" s="1593">
        <v>1.6160000000000001</v>
      </c>
      <c r="F21" s="1593">
        <v>-0.64500000000000002</v>
      </c>
      <c r="G21" s="1593">
        <v>1.6E-2</v>
      </c>
      <c r="H21" s="3"/>
      <c r="I21" s="3"/>
      <c r="J21" s="3"/>
      <c r="K21" s="3"/>
      <c r="L21" s="3"/>
      <c r="M21" s="3"/>
      <c r="N21" s="3"/>
      <c r="O21" s="3"/>
      <c r="P21" s="3"/>
      <c r="Q21" s="3"/>
      <c r="R21" s="3"/>
      <c r="S21" s="3"/>
      <c r="T21" s="3"/>
      <c r="U21" s="3"/>
      <c r="V21" s="3"/>
      <c r="W21" s="3"/>
      <c r="X21" s="3"/>
      <c r="Y21" s="3"/>
      <c r="Z21" s="3"/>
      <c r="AA21" s="3"/>
      <c r="AB21" s="3"/>
      <c r="AC21" s="3"/>
      <c r="AD21" s="3"/>
      <c r="AE21" s="3"/>
      <c r="AF21" s="3"/>
    </row>
    <row r="22" spans="1:32" ht="15.75" thickBot="1" x14ac:dyDescent="0.3">
      <c r="A22" s="3"/>
      <c r="B22" s="1594">
        <v>1999</v>
      </c>
      <c r="C22" s="1594">
        <v>87.842999999999989</v>
      </c>
      <c r="D22" s="1594">
        <v>0.78400000000000003</v>
      </c>
      <c r="E22" s="1594">
        <v>1.2929999999999999</v>
      </c>
      <c r="F22" s="1594">
        <v>-0.52900000000000003</v>
      </c>
      <c r="G22" s="1594">
        <v>0.02</v>
      </c>
      <c r="H22" s="3"/>
      <c r="I22" s="3"/>
      <c r="J22" s="3"/>
      <c r="K22" s="3"/>
      <c r="L22" s="3"/>
      <c r="M22" s="3"/>
      <c r="N22" s="3"/>
      <c r="O22" s="3"/>
      <c r="P22" s="3"/>
      <c r="Q22" s="3"/>
      <c r="R22" s="3"/>
      <c r="S22" s="3"/>
      <c r="T22" s="3"/>
      <c r="U22" s="3"/>
      <c r="V22" s="3"/>
      <c r="W22" s="3"/>
      <c r="X22" s="3"/>
      <c r="Y22" s="3"/>
      <c r="Z22" s="3"/>
      <c r="AA22" s="3"/>
      <c r="AB22" s="3"/>
      <c r="AC22" s="3"/>
      <c r="AD22" s="3"/>
      <c r="AE22" s="3"/>
      <c r="AF22" s="3"/>
    </row>
    <row r="23" spans="1:32" ht="15.75" thickTop="1" x14ac:dyDescent="0.25">
      <c r="A23" s="3"/>
      <c r="B23" s="1595">
        <v>2000</v>
      </c>
      <c r="C23" s="1596">
        <v>87.000209999999996</v>
      </c>
      <c r="D23" s="1595"/>
      <c r="E23" s="1595"/>
      <c r="F23" s="1595"/>
      <c r="G23" s="1595"/>
      <c r="H23" s="3"/>
      <c r="I23" s="3"/>
      <c r="J23" s="3"/>
      <c r="K23" s="3"/>
      <c r="L23" s="3"/>
      <c r="M23" s="3"/>
      <c r="N23" s="3"/>
      <c r="O23" s="3"/>
      <c r="P23" s="3"/>
      <c r="Q23" s="3"/>
      <c r="R23" s="3"/>
      <c r="S23" s="3"/>
      <c r="T23" s="3"/>
      <c r="U23" s="3"/>
      <c r="V23" s="3"/>
      <c r="W23" s="3"/>
      <c r="X23" s="3"/>
      <c r="Y23" s="3"/>
      <c r="Z23" s="3"/>
      <c r="AA23" s="3"/>
      <c r="AB23" s="3"/>
      <c r="AC23" s="3"/>
      <c r="AD23" s="3"/>
      <c r="AE23" s="3"/>
      <c r="AF23" s="3"/>
    </row>
    <row r="24" spans="1:32" ht="15" x14ac:dyDescent="0.25">
      <c r="A24" s="3"/>
      <c r="B24" s="1593">
        <v>2001</v>
      </c>
      <c r="C24" s="1597">
        <v>89.291449999999998</v>
      </c>
      <c r="D24" s="1597">
        <v>2.2912368999999999</v>
      </c>
      <c r="E24" s="1593"/>
      <c r="F24" s="1593"/>
      <c r="G24" s="1593"/>
      <c r="H24" s="3"/>
      <c r="I24" s="3"/>
      <c r="J24" s="3"/>
      <c r="K24" s="3"/>
      <c r="L24" s="3"/>
      <c r="M24" s="3"/>
      <c r="N24" s="3"/>
      <c r="O24" s="3"/>
      <c r="P24" s="3"/>
      <c r="Q24" s="3"/>
      <c r="R24" s="3"/>
      <c r="S24" s="3"/>
      <c r="T24" s="3"/>
      <c r="U24" s="3"/>
      <c r="V24" s="3"/>
      <c r="W24" s="3"/>
      <c r="X24" s="3"/>
      <c r="Y24" s="3"/>
      <c r="Z24" s="3"/>
      <c r="AA24" s="3"/>
      <c r="AB24" s="3"/>
      <c r="AC24" s="3"/>
      <c r="AD24" s="3"/>
      <c r="AE24" s="3"/>
      <c r="AF24" s="3"/>
    </row>
    <row r="25" spans="1:32" ht="15" x14ac:dyDescent="0.25">
      <c r="A25" s="3"/>
      <c r="B25" s="1593">
        <v>2002</v>
      </c>
      <c r="C25" s="1597">
        <v>89.968770000000006</v>
      </c>
      <c r="D25" s="1597">
        <v>0.67732239999999999</v>
      </c>
      <c r="E25" s="1593"/>
      <c r="F25" s="1593"/>
      <c r="G25" s="1593"/>
      <c r="H25" s="3"/>
      <c r="I25" s="3"/>
      <c r="J25" s="3"/>
      <c r="K25" s="3"/>
      <c r="L25" s="3"/>
      <c r="M25" s="3"/>
      <c r="N25" s="3"/>
      <c r="O25" s="3"/>
      <c r="P25" s="3"/>
      <c r="Q25" s="3"/>
      <c r="R25" s="3"/>
      <c r="S25" s="3"/>
      <c r="T25" s="3"/>
      <c r="U25" s="3"/>
      <c r="V25" s="3"/>
      <c r="W25" s="3"/>
      <c r="X25" s="3"/>
      <c r="Y25" s="3"/>
      <c r="Z25" s="3"/>
      <c r="AA25" s="3"/>
      <c r="AB25" s="3"/>
      <c r="AC25" s="3"/>
      <c r="AD25" s="3"/>
      <c r="AE25" s="3"/>
      <c r="AF25" s="3"/>
    </row>
    <row r="26" spans="1:32" ht="15" x14ac:dyDescent="0.25">
      <c r="A26" s="3"/>
      <c r="B26" s="1593">
        <v>2003</v>
      </c>
      <c r="C26" s="1597">
        <v>92.303023999999994</v>
      </c>
      <c r="D26" s="1597">
        <v>2.3342513999999999</v>
      </c>
      <c r="E26" s="1593"/>
      <c r="F26" s="1593"/>
      <c r="G26" s="1593"/>
      <c r="H26" s="3"/>
      <c r="I26" s="3"/>
      <c r="J26" s="3"/>
      <c r="K26" s="3"/>
      <c r="L26" s="3"/>
      <c r="M26" s="3"/>
      <c r="N26" s="3"/>
      <c r="O26" s="3"/>
      <c r="P26" s="3"/>
      <c r="Q26" s="3"/>
      <c r="R26" s="3"/>
      <c r="S26" s="3"/>
      <c r="T26" s="3"/>
      <c r="U26" s="3"/>
      <c r="V26" s="3"/>
      <c r="W26" s="3"/>
      <c r="X26" s="3"/>
      <c r="Y26" s="3"/>
      <c r="Z26" s="3"/>
      <c r="AA26" s="3"/>
      <c r="AB26" s="3"/>
      <c r="AC26" s="3"/>
      <c r="AD26" s="3"/>
      <c r="AE26" s="3"/>
      <c r="AF26" s="3"/>
    </row>
    <row r="27" spans="1:32" ht="15" x14ac:dyDescent="0.25">
      <c r="A27" s="3"/>
      <c r="B27" s="1593">
        <v>2004</v>
      </c>
      <c r="C27" s="1597">
        <v>94.35575</v>
      </c>
      <c r="D27" s="1597">
        <v>2.0527267</v>
      </c>
      <c r="E27" s="1593"/>
      <c r="F27" s="1593"/>
      <c r="G27" s="1593"/>
      <c r="H27" s="3"/>
      <c r="I27" s="3"/>
      <c r="J27" s="3"/>
      <c r="K27" s="3"/>
      <c r="L27" s="3"/>
      <c r="M27" s="3"/>
      <c r="N27" s="3"/>
      <c r="O27" s="3"/>
      <c r="P27" s="3"/>
      <c r="Q27" s="3"/>
      <c r="R27" s="3"/>
      <c r="S27" s="3"/>
      <c r="T27" s="3"/>
      <c r="U27" s="3"/>
      <c r="V27" s="3"/>
      <c r="W27" s="3"/>
      <c r="X27" s="3"/>
      <c r="Y27" s="3"/>
      <c r="Z27" s="3"/>
      <c r="AA27" s="3"/>
      <c r="AB27" s="3"/>
      <c r="AC27" s="3"/>
      <c r="AD27" s="3"/>
      <c r="AE27" s="3"/>
      <c r="AF27" s="3"/>
    </row>
    <row r="28" spans="1:32" ht="15" x14ac:dyDescent="0.25">
      <c r="A28" s="3"/>
      <c r="B28" s="1593">
        <v>2005</v>
      </c>
      <c r="C28" s="1597">
        <v>95.916250000000005</v>
      </c>
      <c r="D28" s="1597">
        <v>1.5605011</v>
      </c>
      <c r="E28" s="1593"/>
      <c r="F28" s="1593"/>
      <c r="G28" s="1593"/>
      <c r="H28" s="3"/>
      <c r="I28" s="3"/>
      <c r="J28" s="3"/>
      <c r="K28" s="3"/>
      <c r="L28" s="3"/>
      <c r="M28" s="3"/>
      <c r="N28" s="3"/>
      <c r="O28" s="3"/>
      <c r="P28" s="3"/>
      <c r="Q28" s="3"/>
      <c r="R28" s="3"/>
      <c r="S28" s="3"/>
      <c r="T28" s="3"/>
      <c r="U28" s="3"/>
      <c r="V28" s="3"/>
      <c r="W28" s="3"/>
      <c r="X28" s="3"/>
      <c r="Y28" s="3"/>
      <c r="Z28" s="3"/>
      <c r="AA28" s="3"/>
      <c r="AB28" s="3"/>
      <c r="AC28" s="3"/>
      <c r="AD28" s="3"/>
      <c r="AE28" s="3"/>
      <c r="AF28" s="3"/>
    </row>
    <row r="29" spans="1:32" ht="15" x14ac:dyDescent="0.25">
      <c r="A29" s="3"/>
      <c r="B29" s="1593">
        <v>2006</v>
      </c>
      <c r="C29" s="1597">
        <v>97.513000000000005</v>
      </c>
      <c r="D29" s="1597">
        <v>1.5967484000000001</v>
      </c>
      <c r="E29" s="1593"/>
      <c r="F29" s="1593"/>
      <c r="G29" s="1593"/>
      <c r="H29" s="3"/>
      <c r="I29" s="3"/>
      <c r="J29" s="3"/>
      <c r="K29" s="3"/>
      <c r="L29" s="3"/>
      <c r="M29" s="3"/>
      <c r="N29" s="3"/>
      <c r="O29" s="3"/>
      <c r="P29" s="3"/>
      <c r="Q29" s="3"/>
      <c r="R29" s="3"/>
      <c r="S29" s="3"/>
      <c r="T29" s="3"/>
      <c r="U29" s="3"/>
      <c r="V29" s="3"/>
      <c r="W29" s="3"/>
      <c r="X29" s="3"/>
      <c r="Y29" s="3"/>
      <c r="Z29" s="3"/>
      <c r="AA29" s="3"/>
      <c r="AB29" s="3"/>
      <c r="AC29" s="3"/>
      <c r="AD29" s="3"/>
      <c r="AE29" s="3"/>
      <c r="AF29" s="3"/>
    </row>
    <row r="30" spans="1:32" ht="15" x14ac:dyDescent="0.25">
      <c r="A30" s="3"/>
      <c r="B30" s="1593">
        <v>2007</v>
      </c>
      <c r="C30" s="1597">
        <v>98.517129999999995</v>
      </c>
      <c r="D30" s="1597">
        <v>1.0041275000000001</v>
      </c>
      <c r="E30" s="1593"/>
      <c r="F30" s="1593"/>
      <c r="G30" s="1593"/>
      <c r="H30" s="3"/>
      <c r="I30" s="3"/>
      <c r="J30" s="3"/>
      <c r="K30" s="3"/>
      <c r="L30" s="3"/>
      <c r="M30" s="3"/>
      <c r="N30" s="3"/>
      <c r="O30" s="3"/>
      <c r="P30" s="3"/>
      <c r="Q30" s="3"/>
      <c r="R30" s="3"/>
      <c r="S30" s="3"/>
      <c r="T30" s="3"/>
      <c r="U30" s="3"/>
      <c r="V30" s="3"/>
      <c r="W30" s="3"/>
      <c r="X30" s="3"/>
      <c r="Y30" s="3"/>
      <c r="Z30" s="3"/>
      <c r="AA30" s="3"/>
      <c r="AB30" s="3"/>
      <c r="AC30" s="3"/>
      <c r="AD30" s="3"/>
      <c r="AE30" s="3"/>
      <c r="AF30" s="3"/>
    </row>
    <row r="31" spans="1:32" ht="15" x14ac:dyDescent="0.25">
      <c r="A31" s="3"/>
      <c r="B31" s="1593">
        <v>2008</v>
      </c>
      <c r="C31" s="1597">
        <v>100.57679</v>
      </c>
      <c r="D31" s="1597">
        <v>2.0596619</v>
      </c>
      <c r="E31" s="1593"/>
      <c r="F31" s="1593"/>
      <c r="G31" s="1593"/>
      <c r="H31" s="3"/>
      <c r="I31" s="3"/>
      <c r="J31" s="3"/>
      <c r="K31" s="3"/>
      <c r="L31" s="3"/>
      <c r="M31" s="3"/>
      <c r="N31" s="3"/>
      <c r="O31" s="3"/>
      <c r="P31" s="3"/>
      <c r="Q31" s="3"/>
      <c r="R31" s="3"/>
      <c r="S31" s="3"/>
      <c r="T31" s="3"/>
      <c r="U31" s="3"/>
      <c r="V31" s="3"/>
      <c r="W31" s="3"/>
      <c r="X31" s="3"/>
      <c r="Y31" s="3"/>
      <c r="Z31" s="3"/>
      <c r="AA31" s="3"/>
      <c r="AB31" s="3"/>
      <c r="AC31" s="3"/>
      <c r="AD31" s="3"/>
      <c r="AE31" s="3"/>
      <c r="AF31" s="3"/>
    </row>
    <row r="32" spans="1:32" ht="15" x14ac:dyDescent="0.25">
      <c r="A32" s="3"/>
      <c r="B32" s="1593">
        <v>2009</v>
      </c>
      <c r="C32" s="1597">
        <v>103.406685</v>
      </c>
      <c r="D32" s="1597">
        <v>2.829895</v>
      </c>
      <c r="E32" s="1593"/>
      <c r="F32" s="1593"/>
      <c r="G32" s="1593"/>
      <c r="H32" s="3"/>
      <c r="I32" s="3"/>
      <c r="J32" s="3"/>
      <c r="K32" s="3"/>
      <c r="L32" s="3"/>
      <c r="M32" s="3"/>
      <c r="N32" s="3"/>
      <c r="O32" s="3"/>
      <c r="P32" s="3"/>
      <c r="Q32" s="3"/>
      <c r="R32" s="3"/>
      <c r="S32" s="3"/>
      <c r="T32" s="3"/>
      <c r="U32" s="3"/>
      <c r="V32" s="3"/>
      <c r="W32" s="3"/>
      <c r="X32" s="3"/>
      <c r="Y32" s="3"/>
      <c r="Z32" s="3"/>
      <c r="AA32" s="3"/>
      <c r="AB32" s="3"/>
      <c r="AC32" s="3"/>
      <c r="AD32" s="3"/>
      <c r="AE32" s="3"/>
      <c r="AF32" s="3"/>
    </row>
    <row r="33" spans="1:32" ht="15" x14ac:dyDescent="0.25">
      <c r="A33" s="3"/>
      <c r="B33" s="1593">
        <v>2010</v>
      </c>
      <c r="C33" s="1597">
        <v>104.35123400000001</v>
      </c>
      <c r="D33" s="1597">
        <v>0.94454956000000001</v>
      </c>
      <c r="E33" s="1593"/>
      <c r="F33" s="1593"/>
      <c r="G33" s="1593"/>
      <c r="H33" s="3"/>
      <c r="I33" s="3"/>
      <c r="J33" s="3"/>
      <c r="K33" s="3"/>
      <c r="L33" s="3"/>
      <c r="M33" s="3"/>
      <c r="N33" s="3"/>
      <c r="O33" s="3"/>
      <c r="P33" s="3"/>
      <c r="Q33" s="3"/>
      <c r="R33" s="3"/>
      <c r="S33" s="3"/>
      <c r="T33" s="3"/>
      <c r="U33" s="3"/>
      <c r="V33" s="3"/>
      <c r="W33" s="3"/>
      <c r="X33" s="3"/>
      <c r="Y33" s="3"/>
      <c r="Z33" s="3"/>
      <c r="AA33" s="3"/>
      <c r="AB33" s="3"/>
      <c r="AC33" s="3"/>
      <c r="AD33" s="3"/>
      <c r="AE33" s="3"/>
      <c r="AF33" s="3"/>
    </row>
    <row r="34" spans="1:32" ht="15" x14ac:dyDescent="0.25">
      <c r="A34" s="3"/>
      <c r="B34" s="1593">
        <v>2011</v>
      </c>
      <c r="C34" s="1597">
        <v>105.90895</v>
      </c>
      <c r="D34" s="1597">
        <v>1.5577163999999999</v>
      </c>
      <c r="E34" s="1593"/>
      <c r="F34" s="1593"/>
      <c r="G34" s="1593"/>
      <c r="H34" s="3"/>
      <c r="I34" s="3"/>
      <c r="J34" s="3"/>
      <c r="K34" s="3"/>
      <c r="L34" s="3"/>
      <c r="M34" s="3"/>
      <c r="N34" s="3"/>
      <c r="O34" s="3"/>
      <c r="P34" s="3"/>
      <c r="Q34" s="3"/>
      <c r="R34" s="3"/>
      <c r="S34" s="3"/>
      <c r="T34" s="3"/>
      <c r="U34" s="3"/>
      <c r="V34" s="3"/>
      <c r="W34" s="3"/>
      <c r="X34" s="3"/>
      <c r="Y34" s="3"/>
      <c r="Z34" s="3"/>
      <c r="AA34" s="3"/>
      <c r="AB34" s="3"/>
      <c r="AC34" s="3"/>
      <c r="AD34" s="3"/>
      <c r="AE34" s="3"/>
      <c r="AF34" s="3"/>
    </row>
    <row r="35" spans="1:32" ht="15" x14ac:dyDescent="0.25">
      <c r="A35" s="3"/>
      <c r="B35" s="1593">
        <v>2012</v>
      </c>
      <c r="C35" s="1597">
        <v>107.932846</v>
      </c>
      <c r="D35" s="1597">
        <v>2.0238953</v>
      </c>
      <c r="E35" s="1593"/>
      <c r="F35" s="1593"/>
      <c r="G35" s="1593"/>
      <c r="H35" s="3"/>
      <c r="I35" s="3"/>
      <c r="J35" s="3"/>
      <c r="K35" s="3"/>
      <c r="L35" s="3"/>
      <c r="M35" s="3"/>
      <c r="N35" s="3"/>
      <c r="O35" s="3"/>
      <c r="P35" s="3"/>
      <c r="Q35" s="3"/>
      <c r="R35" s="3"/>
      <c r="S35" s="3"/>
      <c r="T35" s="3"/>
      <c r="U35" s="3"/>
      <c r="V35" s="3"/>
      <c r="W35" s="3"/>
      <c r="X35" s="3"/>
      <c r="Y35" s="3"/>
      <c r="Z35" s="3"/>
      <c r="AA35" s="3"/>
      <c r="AB35" s="3"/>
      <c r="AC35" s="3"/>
      <c r="AD35" s="3"/>
      <c r="AE35" s="3"/>
      <c r="AF35" s="3"/>
    </row>
    <row r="36" spans="1:32" ht="15" x14ac:dyDescent="0.25">
      <c r="A36" s="3"/>
      <c r="B36" s="1593">
        <v>2013</v>
      </c>
      <c r="C36" s="1597">
        <v>110.34440600000001</v>
      </c>
      <c r="D36" s="1597">
        <v>2.4115600000000001</v>
      </c>
      <c r="E36" s="1593"/>
      <c r="F36" s="1593"/>
      <c r="G36" s="1593"/>
      <c r="H36" s="3"/>
      <c r="I36" s="3"/>
      <c r="J36" s="3"/>
      <c r="K36" s="3"/>
      <c r="L36" s="3"/>
      <c r="M36" s="3"/>
      <c r="N36" s="3"/>
      <c r="O36" s="3"/>
      <c r="P36" s="3"/>
      <c r="Q36" s="3"/>
      <c r="R36" s="3"/>
      <c r="S36" s="3"/>
      <c r="T36" s="3"/>
      <c r="U36" s="3"/>
      <c r="V36" s="3"/>
      <c r="W36" s="3"/>
      <c r="X36" s="3"/>
      <c r="Y36" s="3"/>
      <c r="Z36" s="3"/>
      <c r="AA36" s="3"/>
      <c r="AB36" s="3"/>
      <c r="AC36" s="3"/>
      <c r="AD36" s="3"/>
      <c r="AE36" s="3"/>
      <c r="AF36" s="3"/>
    </row>
    <row r="37" spans="1:32" ht="15" x14ac:dyDescent="0.25">
      <c r="A37" s="3"/>
      <c r="B37" s="1593">
        <v>2014</v>
      </c>
      <c r="C37" s="1597">
        <v>112.5826</v>
      </c>
      <c r="D37" s="1597">
        <v>2.2381972999999999</v>
      </c>
      <c r="E37" s="1593"/>
      <c r="F37" s="1593"/>
      <c r="G37" s="1593"/>
      <c r="H37" s="3"/>
      <c r="I37" s="3"/>
      <c r="J37" s="3"/>
      <c r="K37" s="3"/>
      <c r="L37" s="3"/>
      <c r="M37" s="3"/>
      <c r="N37" s="3"/>
      <c r="O37" s="3"/>
      <c r="P37" s="3"/>
      <c r="Q37" s="3"/>
      <c r="R37" s="3"/>
      <c r="S37" s="3"/>
      <c r="T37" s="3"/>
      <c r="U37" s="3"/>
      <c r="V37" s="3"/>
      <c r="W37" s="3"/>
      <c r="X37" s="3"/>
      <c r="Y37" s="3"/>
      <c r="Z37" s="3"/>
      <c r="AA37" s="3"/>
      <c r="AB37" s="3"/>
      <c r="AC37" s="3"/>
      <c r="AD37" s="3"/>
      <c r="AE37" s="3"/>
      <c r="AF37" s="3"/>
    </row>
    <row r="38" spans="1:32" ht="15" x14ac:dyDescent="0.25">
      <c r="A38" s="3"/>
      <c r="B38" s="1593">
        <v>2015</v>
      </c>
      <c r="C38" s="1597">
        <v>115.124405</v>
      </c>
      <c r="D38" s="1597">
        <v>2.5418015</v>
      </c>
      <c r="E38" s="1593"/>
      <c r="F38" s="1593"/>
      <c r="G38" s="1593"/>
      <c r="H38" s="3"/>
      <c r="I38" s="3"/>
      <c r="J38" s="3"/>
      <c r="K38" s="3"/>
      <c r="L38" s="3"/>
      <c r="M38" s="3"/>
      <c r="N38" s="3"/>
      <c r="O38" s="3"/>
      <c r="P38" s="3"/>
      <c r="Q38" s="3"/>
      <c r="R38" s="3"/>
      <c r="S38" s="3"/>
      <c r="T38" s="3"/>
      <c r="U38" s="3"/>
      <c r="V38" s="3"/>
      <c r="W38" s="3"/>
      <c r="X38" s="3"/>
      <c r="Y38" s="3"/>
      <c r="Z38" s="3"/>
      <c r="AA38" s="3"/>
      <c r="AB38" s="3"/>
      <c r="AC38" s="3"/>
      <c r="AD38" s="3"/>
      <c r="AE38" s="3"/>
      <c r="AF38" s="3"/>
    </row>
    <row r="39" spans="1:32" ht="15" x14ac:dyDescent="0.25">
      <c r="A39" s="3"/>
      <c r="B39" s="1593">
        <v>2016</v>
      </c>
      <c r="C39" s="1597">
        <v>115.5119</v>
      </c>
      <c r="D39" s="1597">
        <v>0.38749695000000001</v>
      </c>
      <c r="E39" s="1593"/>
      <c r="F39" s="1593"/>
      <c r="G39" s="1593"/>
      <c r="H39" s="3"/>
      <c r="I39" s="3"/>
      <c r="J39" s="3"/>
      <c r="K39" s="3"/>
      <c r="L39" s="3"/>
      <c r="M39" s="3"/>
      <c r="N39" s="3"/>
      <c r="O39" s="3"/>
      <c r="P39" s="3"/>
      <c r="Q39" s="3"/>
      <c r="R39" s="3"/>
      <c r="S39" s="3"/>
      <c r="T39" s="3"/>
      <c r="U39" s="3"/>
      <c r="V39" s="3"/>
      <c r="W39" s="3"/>
      <c r="X39" s="3"/>
      <c r="Y39" s="3"/>
      <c r="Z39" s="3"/>
      <c r="AA39" s="3"/>
      <c r="AB39" s="3"/>
      <c r="AC39" s="3"/>
      <c r="AD39" s="3"/>
      <c r="AE39" s="3"/>
      <c r="AF39" s="3"/>
    </row>
    <row r="40" spans="1:32" ht="15" x14ac:dyDescent="0.25">
      <c r="A40" s="3"/>
      <c r="B40" s="1593">
        <v>2017</v>
      </c>
      <c r="C40" s="1597">
        <v>117.04738</v>
      </c>
      <c r="D40" s="1597">
        <v>1.5354767</v>
      </c>
      <c r="E40" s="1593"/>
      <c r="F40" s="1593"/>
      <c r="G40" s="1593"/>
      <c r="H40" s="3"/>
      <c r="I40" s="3"/>
      <c r="J40" s="3"/>
      <c r="K40" s="3"/>
      <c r="L40" s="3"/>
      <c r="M40" s="3"/>
      <c r="N40" s="3"/>
      <c r="O40" s="3"/>
      <c r="P40" s="3"/>
      <c r="Q40" s="3"/>
      <c r="R40" s="3"/>
      <c r="S40" s="3"/>
      <c r="T40" s="3"/>
      <c r="U40" s="3"/>
      <c r="V40" s="3"/>
      <c r="W40" s="3"/>
      <c r="X40" s="3"/>
      <c r="Y40" s="3"/>
      <c r="Z40" s="3"/>
      <c r="AA40" s="3"/>
      <c r="AB40" s="3"/>
      <c r="AC40" s="3"/>
      <c r="AD40" s="3"/>
      <c r="AE40" s="3"/>
      <c r="AF40" s="3"/>
    </row>
    <row r="41" spans="1:32" ht="15" x14ac:dyDescent="0.25">
      <c r="A41" s="3"/>
      <c r="B41" s="1593">
        <v>2018</v>
      </c>
      <c r="C41" s="1597">
        <v>117.97264</v>
      </c>
      <c r="D41" s="1597">
        <v>0.92526244999999996</v>
      </c>
      <c r="E41" s="1593"/>
      <c r="F41" s="1593"/>
      <c r="G41" s="1593"/>
      <c r="H41" s="3"/>
      <c r="I41" s="3"/>
      <c r="J41" s="3"/>
      <c r="K41" s="3"/>
      <c r="L41" s="3"/>
      <c r="M41" s="3"/>
      <c r="N41" s="3"/>
      <c r="O41" s="3"/>
      <c r="P41" s="3"/>
      <c r="Q41" s="3"/>
      <c r="R41" s="3"/>
      <c r="S41" s="3"/>
      <c r="T41" s="3"/>
      <c r="U41" s="3"/>
      <c r="V41" s="3"/>
      <c r="W41" s="3"/>
      <c r="X41" s="3"/>
      <c r="Y41" s="3"/>
      <c r="Z41" s="3"/>
      <c r="AA41" s="3"/>
      <c r="AB41" s="3"/>
      <c r="AC41" s="3"/>
      <c r="AD41" s="3"/>
      <c r="AE41" s="3"/>
      <c r="AF41" s="3"/>
    </row>
    <row r="42" spans="1:32" ht="15" x14ac:dyDescent="0.25">
      <c r="A42" s="3"/>
      <c r="B42" s="1593">
        <v>2019</v>
      </c>
      <c r="C42" s="1597">
        <v>118.91793</v>
      </c>
      <c r="D42" s="1597">
        <v>0.94528959999999995</v>
      </c>
      <c r="E42" s="1593"/>
      <c r="F42" s="1593"/>
      <c r="G42" s="1593"/>
      <c r="H42" s="3"/>
      <c r="I42" s="3"/>
      <c r="J42" s="3"/>
      <c r="K42" s="3"/>
      <c r="L42" s="3"/>
      <c r="M42" s="3"/>
      <c r="N42" s="3"/>
      <c r="O42" s="3"/>
      <c r="P42" s="3"/>
      <c r="Q42" s="3"/>
      <c r="R42" s="3"/>
      <c r="S42" s="3"/>
      <c r="T42" s="3"/>
      <c r="U42" s="3"/>
      <c r="V42" s="3"/>
      <c r="W42" s="3"/>
      <c r="X42" s="3"/>
      <c r="Y42" s="3"/>
      <c r="Z42" s="3"/>
      <c r="AA42" s="3"/>
      <c r="AB42" s="3"/>
      <c r="AC42" s="3"/>
      <c r="AD42" s="3"/>
      <c r="AE42" s="3"/>
      <c r="AF42" s="3"/>
    </row>
    <row r="43" spans="1:32" ht="15" x14ac:dyDescent="0.25">
      <c r="A43" s="3"/>
      <c r="B43" s="1593">
        <v>2020</v>
      </c>
      <c r="C43" s="1597">
        <v>120.864655</v>
      </c>
      <c r="D43" s="1597">
        <v>1.9467239000000001</v>
      </c>
      <c r="E43" s="1593"/>
      <c r="F43" s="1593"/>
      <c r="G43" s="1593"/>
      <c r="H43" s="3"/>
      <c r="I43" s="3"/>
      <c r="J43" s="3"/>
      <c r="K43" s="3"/>
      <c r="L43" s="3"/>
      <c r="M43" s="3"/>
      <c r="N43" s="3"/>
      <c r="O43" s="3"/>
      <c r="P43" s="3"/>
      <c r="Q43" s="3"/>
      <c r="R43" s="3"/>
      <c r="S43" s="3"/>
      <c r="T43" s="3"/>
      <c r="U43" s="3"/>
      <c r="V43" s="3"/>
      <c r="W43" s="3"/>
      <c r="X43" s="3"/>
      <c r="Y43" s="3"/>
      <c r="Z43" s="3"/>
      <c r="AA43" s="3"/>
      <c r="AB43" s="3"/>
      <c r="AC43" s="3"/>
      <c r="AD43" s="3"/>
      <c r="AE43" s="3"/>
      <c r="AF43" s="3"/>
    </row>
    <row r="44" spans="1:32" ht="15" x14ac:dyDescent="0.25">
      <c r="A44" s="3"/>
      <c r="B44" s="1593">
        <v>2021</v>
      </c>
      <c r="C44" s="1597">
        <v>122.49020400000001</v>
      </c>
      <c r="D44" s="1597">
        <v>1.6255493000000001</v>
      </c>
      <c r="E44" s="1593"/>
      <c r="F44" s="1593"/>
      <c r="G44" s="1593"/>
      <c r="H44" s="3"/>
      <c r="I44" s="3"/>
      <c r="J44" s="3"/>
      <c r="K44" s="3"/>
      <c r="L44" s="3"/>
      <c r="M44" s="3"/>
      <c r="N44" s="3"/>
      <c r="O44" s="3"/>
      <c r="P44" s="3"/>
      <c r="Q44" s="3"/>
      <c r="R44" s="3"/>
      <c r="S44" s="3"/>
      <c r="T44" s="3"/>
      <c r="U44" s="3"/>
      <c r="V44" s="3"/>
      <c r="W44" s="3"/>
      <c r="X44" s="3"/>
      <c r="Y44" s="3"/>
      <c r="Z44" s="3"/>
      <c r="AA44" s="3"/>
      <c r="AB44" s="3"/>
      <c r="AC44" s="3"/>
      <c r="AD44" s="3"/>
      <c r="AE44" s="3"/>
      <c r="AF44" s="3"/>
    </row>
    <row r="45" spans="1:32" ht="15" x14ac:dyDescent="0.25">
      <c r="A45" s="3"/>
      <c r="B45" s="1593">
        <v>2022</v>
      </c>
      <c r="C45" s="1597">
        <v>123.88503</v>
      </c>
      <c r="D45" s="1597">
        <v>1.3948288</v>
      </c>
      <c r="E45" s="1593"/>
      <c r="F45" s="1593"/>
      <c r="G45" s="1593"/>
      <c r="H45" s="3"/>
      <c r="I45" s="3"/>
      <c r="J45" s="3"/>
      <c r="K45" s="3"/>
      <c r="L45" s="3"/>
      <c r="M45" s="3"/>
      <c r="N45" s="3"/>
      <c r="O45" s="3"/>
      <c r="P45" s="3"/>
      <c r="Q45" s="3"/>
      <c r="R45" s="3"/>
      <c r="S45" s="3"/>
      <c r="T45" s="3"/>
      <c r="U45" s="3"/>
      <c r="V45" s="3"/>
      <c r="W45" s="3"/>
      <c r="X45" s="3"/>
      <c r="Y45" s="3"/>
      <c r="Z45" s="3"/>
      <c r="AA45" s="3"/>
      <c r="AB45" s="3"/>
      <c r="AC45" s="3"/>
      <c r="AD45" s="3"/>
      <c r="AE45" s="3"/>
      <c r="AF45" s="3"/>
    </row>
    <row r="46" spans="1:32" ht="15" x14ac:dyDescent="0.25">
      <c r="A46" s="3"/>
      <c r="B46" s="1593">
        <v>2023</v>
      </c>
      <c r="C46" s="1597">
        <v>125.73924</v>
      </c>
      <c r="D46" s="1597">
        <v>1.8542099000000001</v>
      </c>
      <c r="E46" s="1593"/>
      <c r="F46" s="1593"/>
      <c r="G46" s="1593"/>
      <c r="H46" s="3"/>
      <c r="I46" s="3"/>
      <c r="J46" s="3"/>
      <c r="K46" s="3"/>
      <c r="L46" s="3"/>
      <c r="M46" s="3"/>
      <c r="N46" s="3"/>
      <c r="O46" s="3"/>
      <c r="P46" s="3"/>
      <c r="Q46" s="3"/>
      <c r="R46" s="3"/>
      <c r="S46" s="3"/>
      <c r="T46" s="3"/>
      <c r="U46" s="3"/>
      <c r="V46" s="3"/>
      <c r="W46" s="3"/>
      <c r="X46" s="3"/>
      <c r="Y46" s="3"/>
      <c r="Z46" s="3"/>
      <c r="AA46" s="3"/>
      <c r="AB46" s="3"/>
      <c r="AC46" s="3"/>
      <c r="AD46" s="3"/>
      <c r="AE46" s="3"/>
      <c r="AF46" s="3"/>
    </row>
    <row r="47" spans="1:32" ht="15" x14ac:dyDescent="0.25">
      <c r="A47" s="3"/>
      <c r="B47" s="1593">
        <v>2024</v>
      </c>
      <c r="C47" s="1597">
        <v>126.98994</v>
      </c>
      <c r="D47" s="1597">
        <v>1.2506942999999999</v>
      </c>
      <c r="E47" s="1593"/>
      <c r="F47" s="1593"/>
      <c r="G47" s="1593"/>
      <c r="H47" s="3"/>
      <c r="I47" s="3"/>
      <c r="J47" s="3"/>
      <c r="K47" s="3"/>
      <c r="L47" s="3"/>
      <c r="M47" s="3"/>
      <c r="N47" s="3"/>
      <c r="O47" s="3"/>
      <c r="P47" s="3"/>
      <c r="Q47" s="3"/>
      <c r="R47" s="3"/>
      <c r="S47" s="3"/>
      <c r="T47" s="3"/>
      <c r="U47" s="3"/>
      <c r="V47" s="3"/>
      <c r="W47" s="3"/>
      <c r="X47" s="3"/>
      <c r="Y47" s="3"/>
      <c r="Z47" s="3"/>
      <c r="AA47" s="3"/>
      <c r="AB47" s="3"/>
      <c r="AC47" s="3"/>
      <c r="AD47" s="3"/>
      <c r="AE47" s="3"/>
      <c r="AF47" s="3"/>
    </row>
    <row r="48" spans="1:32" ht="15"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2" ht="15"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2" ht="15" x14ac:dyDescent="0.25">
      <c r="A50" s="3"/>
      <c r="B50" s="1323" t="s">
        <v>1275</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2" ht="15" x14ac:dyDescent="0.25">
      <c r="A51" s="3"/>
      <c r="B51" s="1598" t="s">
        <v>1575</v>
      </c>
      <c r="C51" s="1599"/>
      <c r="D51" s="1599"/>
      <c r="E51" s="1599"/>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ht="15" x14ac:dyDescent="0.25">
      <c r="A52" s="3"/>
      <c r="B52" s="1598" t="s">
        <v>1576</v>
      </c>
      <c r="C52" s="1599"/>
      <c r="D52" s="1599"/>
      <c r="E52" s="1599"/>
      <c r="F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ht="15" x14ac:dyDescent="0.25">
      <c r="A53" s="3"/>
      <c r="B53" s="1874" t="s">
        <v>1577</v>
      </c>
      <c r="C53" s="1766"/>
      <c r="D53" s="1766"/>
      <c r="E53" s="1766"/>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ht="15" x14ac:dyDescent="0.2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2" ht="15" x14ac:dyDescent="0.25">
      <c r="A55" s="3"/>
      <c r="B55" s="1600" t="s">
        <v>1287</v>
      </c>
      <c r="C55" s="1600"/>
      <c r="D55" s="1600"/>
      <c r="E55" s="1600"/>
      <c r="F55" s="1600"/>
      <c r="G55" s="1600"/>
      <c r="H55" s="1600"/>
      <c r="I55" s="1600"/>
      <c r="J55" s="1601"/>
      <c r="K55" s="959"/>
      <c r="L55" s="959"/>
      <c r="M55" s="959"/>
      <c r="N55" s="959"/>
      <c r="O55" s="959"/>
      <c r="P55" s="959"/>
      <c r="Q55" s="959"/>
      <c r="R55" s="959"/>
      <c r="S55" s="959"/>
      <c r="T55" s="959"/>
      <c r="U55" s="959"/>
      <c r="V55" s="959"/>
      <c r="W55" s="959"/>
      <c r="X55" s="959"/>
      <c r="Y55" s="959"/>
      <c r="Z55" s="959"/>
      <c r="AA55" s="959"/>
      <c r="AB55" s="959"/>
      <c r="AC55" s="959"/>
      <c r="AD55" s="959"/>
      <c r="AE55" s="959"/>
      <c r="AF55" s="959"/>
    </row>
    <row r="56" spans="1:32" ht="15" x14ac:dyDescent="0.25">
      <c r="A56" s="3"/>
      <c r="B56" s="1602" t="s">
        <v>1293</v>
      </c>
      <c r="C56" s="1603"/>
      <c r="D56" s="1604">
        <v>2006</v>
      </c>
      <c r="E56" s="1604">
        <v>2011</v>
      </c>
      <c r="F56" s="1604">
        <v>2014</v>
      </c>
      <c r="G56" s="1604">
        <v>2017</v>
      </c>
      <c r="H56" s="1604">
        <v>2020</v>
      </c>
      <c r="I56" s="1604">
        <v>2023</v>
      </c>
      <c r="K56" s="1605"/>
      <c r="L56" s="1605"/>
      <c r="M56" s="1605"/>
      <c r="N56" s="1605"/>
      <c r="O56" s="1605"/>
      <c r="P56" s="1605"/>
      <c r="Q56" s="1605"/>
      <c r="R56" s="1605"/>
      <c r="S56" s="161"/>
      <c r="T56" s="1605"/>
      <c r="U56" s="1605"/>
      <c r="V56" s="1605"/>
      <c r="W56" s="161"/>
      <c r="X56" s="161"/>
      <c r="Y56" s="1605"/>
      <c r="Z56" s="1605"/>
      <c r="AA56" s="161"/>
      <c r="AB56" s="1605"/>
      <c r="AC56" s="161"/>
      <c r="AD56" s="161"/>
      <c r="AE56" s="1605"/>
    </row>
    <row r="57" spans="1:32" ht="15" x14ac:dyDescent="0.25">
      <c r="A57" s="3"/>
      <c r="B57" s="1606" t="s">
        <v>1296</v>
      </c>
      <c r="C57" s="1607"/>
      <c r="D57" s="7">
        <v>-0.8</v>
      </c>
      <c r="E57" s="7">
        <v>-0.82</v>
      </c>
      <c r="F57" s="7">
        <v>-0.84</v>
      </c>
      <c r="G57" s="7">
        <v>-0.86</v>
      </c>
      <c r="H57" s="7">
        <v>-0.9</v>
      </c>
      <c r="I57" s="7">
        <v>-0.93</v>
      </c>
      <c r="K57" s="8"/>
      <c r="L57" s="8"/>
      <c r="M57" s="8"/>
      <c r="N57" s="8"/>
      <c r="O57" s="8"/>
      <c r="P57" s="8"/>
      <c r="Q57" s="8"/>
      <c r="R57" s="8"/>
      <c r="S57" s="161"/>
      <c r="T57" s="8"/>
      <c r="U57" s="8"/>
      <c r="V57" s="8"/>
      <c r="W57" s="161"/>
      <c r="X57" s="161"/>
      <c r="Y57" s="8"/>
      <c r="Z57" s="8"/>
      <c r="AA57" s="161"/>
      <c r="AB57" s="8"/>
      <c r="AC57" s="161"/>
      <c r="AD57" s="161"/>
      <c r="AE57" s="8"/>
    </row>
    <row r="58" spans="1:32" ht="15" x14ac:dyDescent="0.25">
      <c r="A58" s="3"/>
      <c r="B58" s="1606" t="s">
        <v>1299</v>
      </c>
      <c r="C58" s="1607"/>
      <c r="D58" s="7">
        <v>-0.02</v>
      </c>
      <c r="E58" s="7">
        <v>-0.01</v>
      </c>
      <c r="F58" s="7">
        <v>-0.01</v>
      </c>
      <c r="G58" s="7">
        <v>0</v>
      </c>
      <c r="H58" s="7">
        <v>0.01</v>
      </c>
      <c r="I58" s="7">
        <v>0.01</v>
      </c>
      <c r="K58" s="8"/>
      <c r="L58" s="8"/>
      <c r="M58" s="8"/>
      <c r="N58" s="8"/>
      <c r="O58" s="8"/>
      <c r="P58" s="8"/>
      <c r="Q58" s="8"/>
      <c r="R58" s="8"/>
      <c r="S58" s="161"/>
      <c r="T58" s="8"/>
      <c r="U58" s="8"/>
      <c r="V58" s="8"/>
      <c r="W58" s="161"/>
      <c r="X58" s="161"/>
      <c r="Y58" s="8"/>
      <c r="Z58" s="8"/>
      <c r="AA58" s="161"/>
      <c r="AB58" s="8"/>
      <c r="AC58" s="161"/>
      <c r="AD58" s="161"/>
      <c r="AE58" s="8"/>
    </row>
    <row r="59" spans="1:32" ht="15" x14ac:dyDescent="0.25">
      <c r="A59" s="3"/>
      <c r="B59" s="1606" t="s">
        <v>1300</v>
      </c>
      <c r="C59" s="1607"/>
      <c r="D59" s="7">
        <v>0.1</v>
      </c>
      <c r="E59" s="7">
        <v>0.1</v>
      </c>
      <c r="F59" s="7">
        <v>0.09</v>
      </c>
      <c r="G59" s="7">
        <v>0.09</v>
      </c>
      <c r="H59" s="7">
        <v>0.08</v>
      </c>
      <c r="I59" s="7">
        <v>0.08</v>
      </c>
      <c r="K59" s="8"/>
      <c r="L59" s="8"/>
      <c r="M59" s="8"/>
      <c r="N59" s="8"/>
      <c r="O59" s="8"/>
      <c r="P59" s="8"/>
      <c r="Q59" s="8"/>
      <c r="R59" s="8"/>
      <c r="S59" s="161"/>
      <c r="T59" s="8"/>
      <c r="U59" s="8"/>
      <c r="V59" s="8"/>
      <c r="W59" s="161"/>
      <c r="X59" s="161"/>
      <c r="Y59" s="8"/>
      <c r="Z59" s="8"/>
      <c r="AA59" s="161"/>
      <c r="AB59" s="8"/>
      <c r="AC59" s="161"/>
      <c r="AD59" s="161"/>
      <c r="AE59" s="8"/>
    </row>
    <row r="60" spans="1:32" ht="15.75" thickBot="1" x14ac:dyDescent="0.3">
      <c r="A60" s="3"/>
      <c r="B60" s="1608" t="s">
        <v>1302</v>
      </c>
      <c r="C60" s="1609"/>
      <c r="D60" s="1610">
        <v>0</v>
      </c>
      <c r="E60" s="1610">
        <v>0</v>
      </c>
      <c r="F60" s="1610">
        <v>0</v>
      </c>
      <c r="G60" s="1610">
        <v>0</v>
      </c>
      <c r="H60" s="1610">
        <v>0</v>
      </c>
      <c r="I60" s="1610">
        <v>0</v>
      </c>
      <c r="K60" s="8"/>
      <c r="L60" s="8"/>
      <c r="M60" s="8"/>
      <c r="N60" s="8"/>
      <c r="O60" s="8"/>
      <c r="P60" s="8"/>
      <c r="Q60" s="8"/>
      <c r="R60" s="8"/>
      <c r="S60" s="161"/>
      <c r="T60" s="8"/>
      <c r="U60" s="8"/>
      <c r="V60" s="8"/>
      <c r="W60" s="161"/>
      <c r="X60" s="161"/>
      <c r="Y60" s="8"/>
      <c r="Z60" s="8"/>
      <c r="AA60" s="161"/>
      <c r="AB60" s="8"/>
      <c r="AC60" s="161"/>
      <c r="AD60" s="161"/>
      <c r="AE60" s="8"/>
    </row>
    <row r="61" spans="1:32" ht="15" x14ac:dyDescent="0.25">
      <c r="A61" s="3"/>
      <c r="B61" s="1611" t="s">
        <v>1578</v>
      </c>
      <c r="C61" s="1612"/>
      <c r="D61" s="1613">
        <v>-4.33</v>
      </c>
      <c r="E61" s="1613">
        <v>-4.22</v>
      </c>
      <c r="F61" s="1613">
        <v>-4.1100000000000003</v>
      </c>
      <c r="G61" s="1613">
        <v>-3.99</v>
      </c>
      <c r="H61" s="1613">
        <v>-3.84</v>
      </c>
      <c r="I61" s="1613">
        <v>-3.69</v>
      </c>
      <c r="K61" s="959"/>
      <c r="L61" s="959"/>
      <c r="M61" s="959"/>
      <c r="N61" s="959"/>
      <c r="O61" s="959"/>
      <c r="P61" s="959"/>
      <c r="Q61" s="959"/>
      <c r="R61" s="959"/>
      <c r="S61" s="161"/>
      <c r="T61" s="959"/>
      <c r="U61" s="959"/>
      <c r="V61" s="959"/>
      <c r="W61" s="161"/>
      <c r="X61" s="161"/>
      <c r="Y61" s="959"/>
      <c r="Z61" s="959"/>
      <c r="AA61" s="161"/>
      <c r="AB61" s="959"/>
      <c r="AC61" s="161"/>
      <c r="AD61" s="161"/>
      <c r="AE61" s="959"/>
    </row>
    <row r="62" spans="1:32" ht="15" x14ac:dyDescent="0.25">
      <c r="A62" s="3"/>
      <c r="B62" s="1606" t="s">
        <v>1579</v>
      </c>
      <c r="C62" s="1607"/>
      <c r="D62" s="7">
        <v>-0.81</v>
      </c>
      <c r="E62" s="7">
        <v>-0.77</v>
      </c>
      <c r="F62" s="7">
        <v>-0.74</v>
      </c>
      <c r="G62" s="7">
        <v>-0.71</v>
      </c>
      <c r="H62" s="7">
        <v>-0.67</v>
      </c>
      <c r="I62" s="7">
        <v>-0.63</v>
      </c>
      <c r="K62" s="959"/>
      <c r="L62" s="959"/>
      <c r="M62" s="959"/>
      <c r="N62" s="959"/>
      <c r="O62" s="959"/>
      <c r="P62" s="959"/>
      <c r="Q62" s="959"/>
      <c r="R62" s="959"/>
      <c r="S62" s="161"/>
      <c r="T62" s="959"/>
      <c r="U62" s="959"/>
      <c r="V62" s="959"/>
      <c r="W62" s="161"/>
      <c r="X62" s="161"/>
      <c r="Y62" s="959"/>
      <c r="Z62" s="959"/>
      <c r="AA62" s="161"/>
      <c r="AB62" s="959"/>
      <c r="AC62" s="161"/>
      <c r="AD62" s="161"/>
      <c r="AE62" s="959"/>
    </row>
    <row r="63" spans="1:32" ht="15" x14ac:dyDescent="0.25">
      <c r="A63" s="3"/>
      <c r="B63" s="959"/>
      <c r="C63" s="959"/>
      <c r="D63" s="959"/>
      <c r="E63" s="984"/>
      <c r="F63" s="984"/>
      <c r="G63" s="984"/>
      <c r="H63" s="984"/>
      <c r="I63" s="984"/>
      <c r="J63" s="959"/>
      <c r="K63" s="959"/>
      <c r="L63" s="959"/>
      <c r="M63" s="959"/>
      <c r="N63" s="959"/>
      <c r="O63" s="959"/>
      <c r="P63" s="959"/>
      <c r="Q63" s="959"/>
      <c r="R63" s="959"/>
      <c r="S63" s="161"/>
      <c r="T63" s="959"/>
      <c r="U63" s="959"/>
      <c r="V63" s="959"/>
      <c r="W63" s="161"/>
      <c r="X63" s="161"/>
      <c r="Y63" s="959"/>
      <c r="Z63" s="959"/>
      <c r="AA63" s="161"/>
      <c r="AB63" s="959"/>
      <c r="AC63" s="161"/>
      <c r="AD63" s="161"/>
      <c r="AE63" s="959"/>
    </row>
    <row r="64" spans="1:32" ht="15" x14ac:dyDescent="0.25">
      <c r="A64" s="3"/>
      <c r="B64" s="1600" t="s">
        <v>1307</v>
      </c>
      <c r="C64" s="1600"/>
      <c r="D64" s="1600"/>
      <c r="E64" s="1600"/>
      <c r="F64" s="1600"/>
      <c r="G64" s="1600"/>
      <c r="H64" s="1600"/>
      <c r="I64" s="1600"/>
      <c r="J64" s="1601"/>
      <c r="K64" s="959"/>
      <c r="L64" s="959"/>
      <c r="M64" s="959"/>
      <c r="N64" s="959"/>
      <c r="O64" s="959"/>
      <c r="P64" s="959"/>
      <c r="Q64" s="959"/>
      <c r="R64" s="959"/>
      <c r="S64" s="161"/>
      <c r="T64" s="959"/>
      <c r="U64" s="959"/>
      <c r="V64" s="959"/>
      <c r="W64" s="161"/>
      <c r="X64" s="161"/>
      <c r="Y64" s="959"/>
      <c r="Z64" s="959"/>
      <c r="AA64" s="161"/>
      <c r="AB64" s="959"/>
      <c r="AC64" s="161"/>
      <c r="AD64" s="161"/>
      <c r="AE64" s="959"/>
    </row>
    <row r="65" spans="1:32" ht="15" x14ac:dyDescent="0.25">
      <c r="A65" s="3"/>
      <c r="B65" s="1614" t="s">
        <v>1310</v>
      </c>
      <c r="C65" s="1614" t="s">
        <v>1311</v>
      </c>
      <c r="D65" s="1604">
        <v>2006</v>
      </c>
      <c r="E65" s="1604">
        <v>2011</v>
      </c>
      <c r="F65" s="1604">
        <v>2014</v>
      </c>
      <c r="G65" s="1604">
        <v>2017</v>
      </c>
      <c r="H65" s="1604">
        <v>2020</v>
      </c>
      <c r="I65" s="1604">
        <v>2023</v>
      </c>
      <c r="K65" s="1605"/>
      <c r="L65" s="1605"/>
      <c r="M65" s="1605"/>
      <c r="N65" s="1605"/>
      <c r="O65" s="1605"/>
      <c r="P65" s="1605"/>
      <c r="Q65" s="1605"/>
      <c r="R65" s="1605"/>
      <c r="S65" s="161"/>
      <c r="T65" s="1605"/>
      <c r="U65" s="1605"/>
      <c r="V65" s="1605"/>
      <c r="W65" s="161"/>
      <c r="X65" s="161"/>
      <c r="Y65" s="1605"/>
      <c r="Z65" s="1605"/>
      <c r="AA65" s="161"/>
      <c r="AB65" s="1605"/>
      <c r="AC65" s="161"/>
      <c r="AD65" s="161"/>
      <c r="AE65" s="1605"/>
    </row>
    <row r="66" spans="1:32" ht="15" x14ac:dyDescent="0.25">
      <c r="A66" s="3"/>
      <c r="B66" s="960" t="s">
        <v>1313</v>
      </c>
      <c r="C66" s="960" t="s">
        <v>1314</v>
      </c>
      <c r="D66" s="7">
        <v>-0.06</v>
      </c>
      <c r="E66" s="7">
        <v>-0.06</v>
      </c>
      <c r="F66" s="7">
        <v>-0.06</v>
      </c>
      <c r="G66" s="7">
        <v>-0.06</v>
      </c>
      <c r="H66" s="7">
        <v>-0.06</v>
      </c>
      <c r="I66" s="7">
        <v>-0.06</v>
      </c>
      <c r="K66" s="8"/>
      <c r="L66" s="8"/>
      <c r="M66" s="8"/>
      <c r="N66" s="8"/>
      <c r="O66" s="8"/>
      <c r="P66" s="8"/>
      <c r="Q66" s="8"/>
      <c r="R66" s="8"/>
      <c r="S66" s="161"/>
      <c r="T66" s="8"/>
      <c r="U66" s="8"/>
      <c r="V66" s="8"/>
      <c r="W66" s="161"/>
      <c r="X66" s="161"/>
      <c r="Y66" s="8"/>
      <c r="Z66" s="8"/>
      <c r="AA66" s="161"/>
      <c r="AB66" s="8"/>
      <c r="AC66" s="161"/>
      <c r="AD66" s="161"/>
      <c r="AE66" s="8"/>
    </row>
    <row r="67" spans="1:32" ht="15" x14ac:dyDescent="0.25">
      <c r="A67" s="3"/>
      <c r="B67" s="960" t="s">
        <v>1313</v>
      </c>
      <c r="C67" s="960" t="s">
        <v>1317</v>
      </c>
      <c r="D67" s="7">
        <v>-0.08</v>
      </c>
      <c r="E67" s="7">
        <v>-0.08</v>
      </c>
      <c r="F67" s="7">
        <v>-0.08</v>
      </c>
      <c r="G67" s="7">
        <v>-0.08</v>
      </c>
      <c r="H67" s="7">
        <v>-0.08</v>
      </c>
      <c r="I67" s="7">
        <v>-0.08</v>
      </c>
      <c r="K67" s="8"/>
      <c r="L67" s="8"/>
      <c r="M67" s="8"/>
      <c r="N67" s="8"/>
      <c r="O67" s="8"/>
      <c r="P67" s="8"/>
      <c r="Q67" s="8"/>
      <c r="R67" s="8"/>
      <c r="S67" s="161"/>
      <c r="T67" s="8"/>
      <c r="U67" s="8"/>
      <c r="V67" s="8"/>
      <c r="W67" s="161"/>
      <c r="X67" s="161"/>
      <c r="Y67" s="8"/>
      <c r="Z67" s="8"/>
      <c r="AA67" s="161"/>
      <c r="AB67" s="8"/>
      <c r="AC67" s="161"/>
      <c r="AD67" s="161"/>
      <c r="AE67" s="8"/>
    </row>
    <row r="68" spans="1:32" ht="15.75" thickBot="1" x14ac:dyDescent="0.3">
      <c r="A68" s="3"/>
      <c r="B68" s="960" t="s">
        <v>1313</v>
      </c>
      <c r="C68" s="960" t="s">
        <v>1319</v>
      </c>
      <c r="D68" s="7">
        <v>0</v>
      </c>
      <c r="E68" s="7">
        <v>0</v>
      </c>
      <c r="F68" s="7">
        <v>0</v>
      </c>
      <c r="G68" s="7">
        <v>0</v>
      </c>
      <c r="H68" s="7">
        <v>0</v>
      </c>
      <c r="I68" s="7">
        <v>0</v>
      </c>
      <c r="K68" s="8"/>
      <c r="L68" s="8"/>
      <c r="M68" s="8"/>
      <c r="N68" s="8"/>
      <c r="O68" s="8"/>
      <c r="P68" s="8"/>
      <c r="Q68" s="8"/>
      <c r="R68" s="8"/>
      <c r="S68" s="161"/>
      <c r="T68" s="8"/>
      <c r="U68" s="8"/>
      <c r="V68" s="8"/>
      <c r="W68" s="161"/>
      <c r="X68" s="161"/>
      <c r="Y68" s="8"/>
      <c r="Z68" s="8"/>
      <c r="AA68" s="161"/>
      <c r="AB68" s="8"/>
      <c r="AC68" s="161"/>
      <c r="AD68" s="161"/>
      <c r="AE68" s="8"/>
    </row>
    <row r="69" spans="1:32" ht="15" x14ac:dyDescent="0.25">
      <c r="A69" s="3"/>
      <c r="B69" s="1611" t="s">
        <v>1313</v>
      </c>
      <c r="C69" s="1615" t="s">
        <v>1580</v>
      </c>
      <c r="D69" s="1613">
        <v>-0.27</v>
      </c>
      <c r="E69" s="1613">
        <v>-0.27</v>
      </c>
      <c r="F69" s="1613">
        <v>-0.27</v>
      </c>
      <c r="G69" s="1613">
        <v>-0.27</v>
      </c>
      <c r="H69" s="1613">
        <v>-0.26</v>
      </c>
      <c r="I69" s="1613">
        <v>-0.26</v>
      </c>
      <c r="K69" s="959"/>
      <c r="L69" s="959"/>
      <c r="M69" s="959"/>
      <c r="N69" s="959"/>
      <c r="O69" s="959"/>
      <c r="P69" s="959"/>
      <c r="Q69" s="959"/>
      <c r="R69" s="959"/>
      <c r="S69" s="161"/>
      <c r="T69" s="959"/>
      <c r="U69" s="959"/>
      <c r="V69" s="959"/>
      <c r="W69" s="161"/>
      <c r="X69" s="161"/>
      <c r="Y69" s="959"/>
      <c r="Z69" s="959"/>
      <c r="AA69" s="161"/>
      <c r="AB69" s="959"/>
      <c r="AC69" s="161"/>
      <c r="AD69" s="161"/>
      <c r="AE69" s="959"/>
    </row>
    <row r="70" spans="1:32" ht="15" x14ac:dyDescent="0.25">
      <c r="A70" s="3"/>
      <c r="B70" s="1606" t="s">
        <v>1313</v>
      </c>
      <c r="C70" s="960" t="s">
        <v>1581</v>
      </c>
      <c r="D70" s="7">
        <v>-0.04</v>
      </c>
      <c r="E70" s="7">
        <v>-0.04</v>
      </c>
      <c r="F70" s="7">
        <v>-0.04</v>
      </c>
      <c r="G70" s="7">
        <v>-0.04</v>
      </c>
      <c r="H70" s="7">
        <v>-0.04</v>
      </c>
      <c r="I70" s="7">
        <v>-0.04</v>
      </c>
      <c r="K70" s="959"/>
      <c r="L70" s="959"/>
      <c r="M70" s="959"/>
      <c r="N70" s="959"/>
      <c r="O70" s="959"/>
      <c r="P70" s="959"/>
      <c r="Q70" s="959"/>
      <c r="R70" s="959"/>
      <c r="S70" s="161"/>
      <c r="T70" s="959"/>
      <c r="U70" s="959"/>
      <c r="V70" s="959"/>
      <c r="W70" s="161"/>
      <c r="X70" s="161"/>
      <c r="Y70" s="959"/>
      <c r="Z70" s="959"/>
      <c r="AA70" s="161"/>
      <c r="AB70" s="959"/>
      <c r="AC70" s="161"/>
      <c r="AD70" s="161"/>
      <c r="AE70" s="959"/>
    </row>
    <row r="71" spans="1:32" ht="15" x14ac:dyDescent="0.25">
      <c r="A71" s="3"/>
      <c r="B71" s="959"/>
      <c r="C71" s="959"/>
      <c r="D71" s="959"/>
      <c r="E71" s="984"/>
      <c r="F71" s="984"/>
      <c r="G71" s="984"/>
      <c r="H71" s="984"/>
      <c r="I71" s="984"/>
      <c r="J71" s="959"/>
      <c r="K71" s="959"/>
      <c r="L71" s="959"/>
      <c r="M71" s="959"/>
      <c r="N71" s="959"/>
      <c r="O71" s="959"/>
      <c r="P71" s="959"/>
      <c r="Q71" s="959"/>
      <c r="R71" s="959"/>
      <c r="S71" s="161"/>
      <c r="T71" s="959"/>
      <c r="U71" s="959"/>
      <c r="V71" s="959"/>
      <c r="W71" s="161"/>
      <c r="X71" s="161"/>
      <c r="Y71" s="959"/>
      <c r="Z71" s="959"/>
      <c r="AA71" s="161"/>
      <c r="AB71" s="959"/>
      <c r="AC71" s="161"/>
      <c r="AD71" s="161"/>
      <c r="AE71" s="959"/>
    </row>
    <row r="72" spans="1:32" ht="15" x14ac:dyDescent="0.25">
      <c r="A72" s="3"/>
      <c r="B72" s="1600" t="s">
        <v>1322</v>
      </c>
      <c r="C72" s="1600"/>
      <c r="D72" s="1600"/>
      <c r="E72" s="1600"/>
      <c r="F72" s="1600"/>
      <c r="G72" s="1600"/>
      <c r="H72" s="1600"/>
      <c r="I72" s="1600"/>
      <c r="J72" s="1601"/>
      <c r="K72" s="959"/>
      <c r="L72" s="959"/>
      <c r="M72" s="959"/>
      <c r="N72" s="959"/>
      <c r="O72" s="959"/>
      <c r="P72" s="959"/>
      <c r="Q72" s="959"/>
      <c r="R72" s="959"/>
      <c r="S72" s="161"/>
      <c r="T72" s="959"/>
      <c r="U72" s="959"/>
      <c r="V72" s="959"/>
      <c r="W72" s="161"/>
      <c r="X72" s="161"/>
      <c r="Y72" s="959"/>
      <c r="Z72" s="959"/>
      <c r="AA72" s="161"/>
      <c r="AB72" s="959"/>
      <c r="AC72" s="161"/>
      <c r="AD72" s="161"/>
      <c r="AE72" s="959"/>
    </row>
    <row r="73" spans="1:32" ht="15" x14ac:dyDescent="0.25">
      <c r="A73" s="3"/>
      <c r="B73" s="1614" t="s">
        <v>1310</v>
      </c>
      <c r="C73" s="1614" t="s">
        <v>1311</v>
      </c>
      <c r="D73" s="1604">
        <v>2006</v>
      </c>
      <c r="E73" s="1604">
        <v>2011</v>
      </c>
      <c r="F73" s="1604">
        <v>2014</v>
      </c>
      <c r="G73" s="1604">
        <v>2017</v>
      </c>
      <c r="H73" s="1604">
        <v>2020</v>
      </c>
      <c r="I73" s="1604">
        <v>2023</v>
      </c>
      <c r="K73" s="1605"/>
      <c r="L73" s="1605"/>
      <c r="M73" s="1605"/>
      <c r="N73" s="1605"/>
      <c r="O73" s="1605"/>
      <c r="P73" s="1605"/>
      <c r="Q73" s="1605"/>
      <c r="R73" s="1605"/>
      <c r="S73" s="161"/>
      <c r="T73" s="1605"/>
      <c r="U73" s="1605"/>
      <c r="V73" s="1605"/>
      <c r="W73" s="161"/>
      <c r="X73" s="161"/>
      <c r="Y73" s="1605"/>
      <c r="Z73" s="1605"/>
      <c r="AA73" s="161"/>
      <c r="AB73" s="1605"/>
      <c r="AC73" s="161"/>
      <c r="AD73" s="161"/>
      <c r="AE73" s="1605"/>
    </row>
    <row r="74" spans="1:32" ht="15" x14ac:dyDescent="0.25">
      <c r="A74" s="3"/>
      <c r="B74" s="960" t="s">
        <v>1313</v>
      </c>
      <c r="C74" s="960" t="s">
        <v>1314</v>
      </c>
      <c r="D74" s="7">
        <v>0.11</v>
      </c>
      <c r="E74" s="7">
        <v>0.12</v>
      </c>
      <c r="F74" s="7">
        <v>0.12</v>
      </c>
      <c r="G74" s="7">
        <v>0.12</v>
      </c>
      <c r="H74" s="7">
        <v>0.12</v>
      </c>
      <c r="I74" s="7">
        <v>0.12</v>
      </c>
      <c r="K74" s="8"/>
      <c r="L74" s="8"/>
      <c r="M74" s="8"/>
      <c r="N74" s="8"/>
      <c r="O74" s="8"/>
      <c r="P74" s="8"/>
      <c r="Q74" s="8"/>
      <c r="R74" s="8"/>
      <c r="S74" s="161"/>
      <c r="T74" s="8"/>
      <c r="U74" s="8"/>
      <c r="V74" s="8"/>
      <c r="W74" s="161"/>
      <c r="X74" s="161"/>
      <c r="Y74" s="8"/>
      <c r="Z74" s="8"/>
      <c r="AA74" s="161"/>
      <c r="AB74" s="8"/>
      <c r="AC74" s="161"/>
      <c r="AD74" s="161"/>
      <c r="AE74" s="8"/>
    </row>
    <row r="75" spans="1:32" ht="15" x14ac:dyDescent="0.25">
      <c r="A75" s="3"/>
      <c r="B75" s="960" t="s">
        <v>1313</v>
      </c>
      <c r="C75" s="960" t="s">
        <v>1317</v>
      </c>
      <c r="D75" s="7">
        <v>0.21</v>
      </c>
      <c r="E75" s="7">
        <v>0.21</v>
      </c>
      <c r="F75" s="7">
        <v>0.21</v>
      </c>
      <c r="G75" s="7">
        <v>0.22</v>
      </c>
      <c r="H75" s="7">
        <v>0.22</v>
      </c>
      <c r="I75" s="7">
        <v>0.22</v>
      </c>
      <c r="K75" s="8"/>
      <c r="L75" s="8"/>
      <c r="M75" s="8"/>
      <c r="N75" s="8"/>
      <c r="O75" s="8"/>
      <c r="P75" s="8"/>
      <c r="Q75" s="8"/>
      <c r="R75" s="8"/>
      <c r="S75" s="161"/>
      <c r="T75" s="8"/>
      <c r="U75" s="8"/>
      <c r="V75" s="8"/>
      <c r="W75" s="161"/>
      <c r="X75" s="161"/>
      <c r="Y75" s="8"/>
      <c r="Z75" s="8"/>
      <c r="AA75" s="161"/>
      <c r="AB75" s="8"/>
      <c r="AC75" s="161"/>
      <c r="AD75" s="161"/>
      <c r="AE75" s="8"/>
    </row>
    <row r="76" spans="1:32" ht="15.75" thickBot="1" x14ac:dyDescent="0.3">
      <c r="A76" s="3"/>
      <c r="B76" s="960" t="s">
        <v>1313</v>
      </c>
      <c r="C76" s="960" t="s">
        <v>1319</v>
      </c>
      <c r="D76" s="7">
        <v>0.01</v>
      </c>
      <c r="E76" s="7">
        <v>0.01</v>
      </c>
      <c r="F76" s="7">
        <v>0.02</v>
      </c>
      <c r="G76" s="7">
        <v>0.01</v>
      </c>
      <c r="H76" s="7">
        <v>0.01</v>
      </c>
      <c r="I76" s="7">
        <v>0.01</v>
      </c>
      <c r="K76" s="8"/>
      <c r="L76" s="8"/>
      <c r="M76" s="8"/>
      <c r="N76" s="8"/>
      <c r="O76" s="8"/>
      <c r="P76" s="8"/>
      <c r="Q76" s="8"/>
      <c r="R76" s="8"/>
      <c r="S76" s="161"/>
      <c r="T76" s="8"/>
      <c r="U76" s="8"/>
      <c r="V76" s="8"/>
      <c r="W76" s="161"/>
      <c r="X76" s="161"/>
      <c r="Y76" s="8"/>
      <c r="Z76" s="8"/>
      <c r="AA76" s="161"/>
      <c r="AB76" s="8"/>
      <c r="AC76" s="161"/>
      <c r="AD76" s="161"/>
      <c r="AE76" s="8"/>
    </row>
    <row r="77" spans="1:32" ht="15" x14ac:dyDescent="0.25">
      <c r="A77" s="3"/>
      <c r="B77" s="1611" t="s">
        <v>1313</v>
      </c>
      <c r="C77" s="1615" t="s">
        <v>1580</v>
      </c>
      <c r="D77" s="1613">
        <v>0.91</v>
      </c>
      <c r="E77" s="1613">
        <v>0.92</v>
      </c>
      <c r="F77" s="1613">
        <v>0.94</v>
      </c>
      <c r="G77" s="1613">
        <v>0.95</v>
      </c>
      <c r="H77" s="1613">
        <v>0.96</v>
      </c>
      <c r="I77" s="1613">
        <v>0.96</v>
      </c>
      <c r="K77" s="3"/>
      <c r="L77" s="3"/>
      <c r="M77" s="3"/>
      <c r="N77" s="3"/>
      <c r="O77" s="3"/>
      <c r="P77" s="3"/>
      <c r="Q77" s="3"/>
      <c r="R77" s="3"/>
      <c r="S77" s="3"/>
      <c r="T77" s="3"/>
      <c r="U77" s="3"/>
      <c r="V77" s="3"/>
      <c r="W77" s="3"/>
      <c r="X77" s="3"/>
      <c r="Y77" s="3"/>
      <c r="Z77" s="3"/>
      <c r="AA77" s="3"/>
      <c r="AB77" s="3"/>
      <c r="AC77" s="3"/>
      <c r="AD77" s="3"/>
      <c r="AE77" s="3"/>
      <c r="AF77" s="3"/>
    </row>
    <row r="78" spans="1:32" ht="15" x14ac:dyDescent="0.25">
      <c r="A78" s="3"/>
      <c r="B78" s="1606" t="s">
        <v>1313</v>
      </c>
      <c r="C78" s="960" t="s">
        <v>1581</v>
      </c>
      <c r="D78" s="7">
        <v>0.15</v>
      </c>
      <c r="E78" s="7">
        <v>0.15</v>
      </c>
      <c r="F78" s="7">
        <v>0.15</v>
      </c>
      <c r="G78" s="7">
        <v>0.16</v>
      </c>
      <c r="H78" s="7">
        <v>0.16</v>
      </c>
      <c r="I78" s="7">
        <v>0.16</v>
      </c>
      <c r="K78" s="3"/>
      <c r="L78" s="3"/>
      <c r="M78" s="3"/>
      <c r="N78" s="3"/>
      <c r="O78" s="3"/>
      <c r="P78" s="3"/>
      <c r="Q78" s="3"/>
      <c r="R78" s="3"/>
      <c r="S78" s="3"/>
      <c r="T78" s="3"/>
      <c r="U78" s="3"/>
      <c r="V78" s="3"/>
      <c r="W78" s="3"/>
      <c r="X78" s="3"/>
      <c r="Y78" s="3"/>
      <c r="Z78" s="3"/>
      <c r="AA78" s="3"/>
      <c r="AB78" s="3"/>
      <c r="AC78" s="3"/>
      <c r="AD78" s="3"/>
      <c r="AE78" s="3"/>
      <c r="AF78" s="3"/>
    </row>
    <row r="79" spans="1:32" ht="15" x14ac:dyDescent="0.25">
      <c r="A79" s="3"/>
      <c r="B79" s="161"/>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ht="15" x14ac:dyDescent="0.25">
      <c r="A80" s="3"/>
      <c r="B80" s="1600" t="s">
        <v>1582</v>
      </c>
      <c r="C80" s="1600"/>
      <c r="D80" s="1600"/>
      <c r="E80" s="1600"/>
      <c r="F80" s="1600"/>
      <c r="G80" s="1600"/>
      <c r="H80" s="1600"/>
      <c r="I80" s="1600"/>
      <c r="J80" s="3"/>
      <c r="K80" s="3"/>
      <c r="L80" s="3"/>
      <c r="M80" s="3"/>
      <c r="N80" s="3"/>
      <c r="O80" s="3"/>
      <c r="P80" s="3"/>
      <c r="Q80" s="3"/>
      <c r="R80" s="3"/>
      <c r="S80" s="3"/>
      <c r="T80" s="3"/>
      <c r="U80" s="3"/>
      <c r="V80" s="3"/>
      <c r="W80" s="3"/>
      <c r="X80" s="3"/>
      <c r="Y80" s="3"/>
      <c r="Z80" s="3"/>
      <c r="AA80" s="3"/>
      <c r="AB80" s="3"/>
      <c r="AC80" s="3"/>
      <c r="AD80" s="3"/>
      <c r="AE80" s="3"/>
      <c r="AF80" s="3"/>
    </row>
    <row r="81" spans="1:32" ht="15" x14ac:dyDescent="0.25">
      <c r="A81" s="3"/>
      <c r="B81" s="161"/>
      <c r="C81" s="3"/>
      <c r="D81" s="1604">
        <v>2006</v>
      </c>
      <c r="E81" s="1604">
        <v>2011</v>
      </c>
      <c r="F81" s="1604">
        <v>2014</v>
      </c>
      <c r="G81" s="1604">
        <v>2017</v>
      </c>
      <c r="H81" s="1604">
        <v>2020</v>
      </c>
      <c r="I81" s="1604">
        <v>2023</v>
      </c>
      <c r="J81" s="3"/>
      <c r="K81" s="3"/>
      <c r="L81" s="3"/>
      <c r="M81" s="3"/>
      <c r="N81" s="3"/>
      <c r="O81" s="3"/>
      <c r="P81" s="3"/>
      <c r="Q81" s="3"/>
      <c r="R81" s="3"/>
      <c r="S81" s="3"/>
      <c r="T81" s="3"/>
      <c r="U81" s="3"/>
      <c r="V81" s="3"/>
      <c r="W81" s="3"/>
      <c r="X81" s="3"/>
      <c r="Y81" s="3"/>
      <c r="Z81" s="3"/>
      <c r="AA81" s="3"/>
      <c r="AB81" s="3"/>
      <c r="AC81" s="3"/>
      <c r="AD81" s="3"/>
      <c r="AE81" s="3"/>
      <c r="AF81" s="3"/>
    </row>
    <row r="82" spans="1:32" ht="15" x14ac:dyDescent="0.25">
      <c r="A82" s="3"/>
      <c r="B82" s="1606" t="s">
        <v>1583</v>
      </c>
      <c r="C82" s="1607"/>
      <c r="D82" s="1616">
        <f t="shared" ref="D82:I82" si="0">(D62+D70+D78)/(D61+D69+D77)</f>
        <v>0.18970189701897022</v>
      </c>
      <c r="E82" s="1616">
        <f t="shared" si="0"/>
        <v>0.18487394957983191</v>
      </c>
      <c r="F82" s="1616">
        <f t="shared" si="0"/>
        <v>0.18313953488372089</v>
      </c>
      <c r="G82" s="1616">
        <f t="shared" si="0"/>
        <v>0.17824773413897282</v>
      </c>
      <c r="H82" s="1616">
        <f t="shared" si="0"/>
        <v>0.17515923566878985</v>
      </c>
      <c r="I82" s="1616">
        <f t="shared" si="0"/>
        <v>0.1705685618729097</v>
      </c>
      <c r="J82" s="3"/>
      <c r="K82" s="3"/>
      <c r="L82" s="3"/>
      <c r="M82" s="3"/>
      <c r="N82" s="3"/>
      <c r="O82" s="3"/>
      <c r="P82" s="3"/>
      <c r="Q82" s="3"/>
      <c r="R82" s="3"/>
      <c r="S82" s="3"/>
      <c r="T82" s="3"/>
      <c r="U82" s="3"/>
      <c r="V82" s="3"/>
      <c r="W82" s="3"/>
      <c r="X82" s="3"/>
      <c r="Y82" s="3"/>
      <c r="Z82" s="3"/>
      <c r="AA82" s="3"/>
      <c r="AB82" s="3"/>
      <c r="AC82" s="3"/>
      <c r="AD82" s="3"/>
      <c r="AE82" s="3"/>
      <c r="AF82" s="3"/>
    </row>
    <row r="83" spans="1:32" ht="15" x14ac:dyDescent="0.25">
      <c r="A83" s="3"/>
      <c r="B83" s="1323"/>
      <c r="C83" s="982"/>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5" x14ac:dyDescent="0.25">
      <c r="A84" s="3"/>
      <c r="B84" s="1323" t="s">
        <v>1330</v>
      </c>
      <c r="C84" s="982"/>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ht="15" x14ac:dyDescent="0.25">
      <c r="A85" s="3"/>
      <c r="B85" s="1614" t="s">
        <v>1331</v>
      </c>
      <c r="C85" s="1617">
        <v>2006</v>
      </c>
      <c r="D85" s="3"/>
      <c r="E85" s="1618"/>
      <c r="F85" s="1618"/>
      <c r="G85" s="1618"/>
      <c r="H85" s="1618"/>
      <c r="I85" s="1618"/>
      <c r="J85" s="1618"/>
      <c r="K85" s="3"/>
      <c r="L85" s="3"/>
      <c r="M85" s="3"/>
      <c r="N85" s="3"/>
      <c r="O85" s="3"/>
      <c r="P85" s="3"/>
      <c r="Q85" s="3"/>
      <c r="R85" s="3"/>
      <c r="S85" s="3"/>
      <c r="T85" s="3"/>
      <c r="U85" s="3"/>
      <c r="V85" s="3"/>
      <c r="W85" s="3"/>
      <c r="X85" s="3"/>
      <c r="Y85" s="3"/>
      <c r="Z85" s="3"/>
      <c r="AA85" s="3"/>
      <c r="AB85" s="3"/>
      <c r="AC85" s="3"/>
      <c r="AD85" s="3"/>
      <c r="AE85" s="3"/>
      <c r="AF85" s="3"/>
    </row>
    <row r="86" spans="1:32" ht="15" x14ac:dyDescent="0.25">
      <c r="A86" s="3"/>
      <c r="B86" s="960" t="s">
        <v>1335</v>
      </c>
      <c r="C86" s="1619">
        <f>-D29*(44/12)</f>
        <v>-5.854744133333333</v>
      </c>
      <c r="D86" s="3"/>
      <c r="E86" s="1618"/>
      <c r="F86" s="1618"/>
      <c r="G86" s="1618"/>
      <c r="H86" s="1618"/>
      <c r="I86" s="1618"/>
      <c r="J86" s="1618"/>
      <c r="K86" s="3"/>
      <c r="L86" s="3"/>
      <c r="M86" s="3"/>
      <c r="N86" s="3"/>
      <c r="O86" s="3"/>
      <c r="P86" s="3"/>
      <c r="Q86" s="3"/>
      <c r="R86" s="3"/>
      <c r="S86" s="3"/>
      <c r="T86" s="3"/>
      <c r="U86" s="3"/>
      <c r="V86" s="3"/>
      <c r="W86" s="3"/>
      <c r="X86" s="3"/>
      <c r="Y86" s="3"/>
      <c r="Z86" s="3"/>
      <c r="AA86" s="3"/>
      <c r="AB86" s="3"/>
      <c r="AC86" s="3"/>
      <c r="AD86" s="3"/>
      <c r="AE86" s="3"/>
      <c r="AF86" s="3"/>
    </row>
    <row r="87" spans="1:32" ht="15" x14ac:dyDescent="0.25">
      <c r="A87" s="3"/>
      <c r="B87" s="960" t="s">
        <v>1337</v>
      </c>
      <c r="C87" s="1619">
        <f>C86*D82</f>
        <v>-1.1106560686540199</v>
      </c>
      <c r="D87" s="3"/>
      <c r="E87" s="1620"/>
      <c r="F87" s="1620"/>
      <c r="G87" s="1620"/>
      <c r="H87" s="1620"/>
      <c r="I87" s="1620"/>
      <c r="J87" s="1620"/>
      <c r="K87" s="3"/>
      <c r="L87" s="3"/>
      <c r="M87" s="3"/>
      <c r="N87" s="3"/>
      <c r="O87" s="3"/>
      <c r="P87" s="3"/>
      <c r="Q87" s="3"/>
      <c r="R87" s="3"/>
      <c r="S87" s="3"/>
      <c r="T87" s="3"/>
      <c r="U87" s="3"/>
      <c r="V87" s="3"/>
      <c r="W87" s="3"/>
      <c r="X87" s="3"/>
      <c r="Y87" s="3"/>
      <c r="Z87" s="3"/>
      <c r="AA87" s="3"/>
      <c r="AB87" s="3"/>
      <c r="AC87" s="3"/>
      <c r="AD87" s="3"/>
      <c r="AE87" s="3"/>
      <c r="AF87" s="3"/>
    </row>
    <row r="88" spans="1:32" ht="15" x14ac:dyDescent="0.25">
      <c r="A88" s="3"/>
      <c r="B88" s="960" t="s">
        <v>1345</v>
      </c>
      <c r="C88" s="1619">
        <f>D57+D66+D74</f>
        <v>-0.75000000000000011</v>
      </c>
      <c r="D88" s="3"/>
      <c r="E88" s="1618"/>
      <c r="F88" s="1618"/>
      <c r="G88" s="1618"/>
      <c r="H88" s="1618"/>
      <c r="I88" s="1618"/>
      <c r="J88" s="1618"/>
      <c r="K88" s="3"/>
      <c r="L88" s="3"/>
      <c r="M88" s="3"/>
      <c r="N88" s="3"/>
      <c r="O88" s="3"/>
      <c r="P88" s="3"/>
      <c r="Q88" s="3"/>
      <c r="R88" s="3"/>
      <c r="S88" s="3"/>
      <c r="T88" s="3"/>
      <c r="U88" s="3"/>
      <c r="V88" s="3"/>
      <c r="W88" s="3"/>
      <c r="X88" s="3"/>
      <c r="Y88" s="3"/>
      <c r="Z88" s="3"/>
      <c r="AA88" s="3"/>
      <c r="AB88" s="3"/>
      <c r="AC88" s="3"/>
      <c r="AD88" s="3"/>
      <c r="AE88" s="3"/>
      <c r="AF88" s="3"/>
    </row>
    <row r="89" spans="1:32" ht="15" x14ac:dyDescent="0.25">
      <c r="A89" s="3"/>
      <c r="B89" s="960" t="s">
        <v>1346</v>
      </c>
      <c r="C89" s="1619">
        <f>D58+D67+D75</f>
        <v>0.10999999999999999</v>
      </c>
      <c r="D89" s="3"/>
      <c r="E89" s="1618"/>
      <c r="F89" s="1618"/>
      <c r="G89" s="1618"/>
      <c r="H89" s="1618"/>
      <c r="I89" s="1618"/>
      <c r="J89" s="1618"/>
      <c r="K89" s="3"/>
      <c r="L89" s="3"/>
      <c r="M89" s="3"/>
      <c r="N89" s="3"/>
      <c r="O89" s="3"/>
      <c r="P89" s="3"/>
      <c r="Q89" s="3"/>
      <c r="R89" s="3"/>
      <c r="S89" s="3"/>
      <c r="T89" s="3"/>
      <c r="U89" s="3"/>
      <c r="V89" s="3"/>
      <c r="W89" s="3"/>
      <c r="X89" s="3"/>
      <c r="Y89" s="3"/>
      <c r="Z89" s="3"/>
      <c r="AA89" s="3"/>
      <c r="AB89" s="3"/>
      <c r="AC89" s="3"/>
      <c r="AD89" s="3"/>
      <c r="AE89" s="3"/>
      <c r="AF89" s="3"/>
    </row>
    <row r="90" spans="1:32" ht="15" x14ac:dyDescent="0.25">
      <c r="A90" s="3"/>
      <c r="B90" s="960" t="s">
        <v>1348</v>
      </c>
      <c r="C90" s="1619">
        <f>D59+D68+D76</f>
        <v>0.11</v>
      </c>
      <c r="D90" s="3"/>
      <c r="E90" s="1618"/>
      <c r="F90" s="1618"/>
      <c r="G90" s="1618"/>
      <c r="H90" s="1618"/>
      <c r="I90" s="1618"/>
      <c r="J90" s="1618"/>
      <c r="K90" s="3"/>
      <c r="L90" s="3"/>
      <c r="M90" s="3"/>
      <c r="N90" s="3"/>
      <c r="O90" s="3"/>
      <c r="P90" s="3"/>
      <c r="Q90" s="3"/>
      <c r="R90" s="3"/>
      <c r="S90" s="3"/>
      <c r="T90" s="3"/>
      <c r="U90" s="3"/>
      <c r="V90" s="3"/>
      <c r="W90" s="3"/>
      <c r="X90" s="3"/>
      <c r="Y90" s="3"/>
      <c r="Z90" s="3"/>
      <c r="AA90" s="3"/>
      <c r="AB90" s="3"/>
      <c r="AC90" s="3"/>
      <c r="AD90" s="3"/>
      <c r="AE90" s="3"/>
      <c r="AF90" s="3"/>
    </row>
    <row r="91" spans="1:32" ht="15" x14ac:dyDescent="0.25">
      <c r="A91" s="3"/>
      <c r="B91" s="960" t="s">
        <v>1351</v>
      </c>
      <c r="C91" s="1619">
        <f>D60</f>
        <v>0</v>
      </c>
      <c r="D91" s="3"/>
      <c r="E91" s="1618"/>
      <c r="F91" s="1618"/>
      <c r="G91" s="1618"/>
      <c r="H91" s="1618"/>
      <c r="I91" s="1618"/>
      <c r="J91" s="1618"/>
      <c r="K91" s="3"/>
      <c r="L91" s="3"/>
      <c r="M91" s="3"/>
      <c r="N91" s="3"/>
      <c r="O91" s="3"/>
      <c r="P91" s="3"/>
      <c r="Q91" s="3"/>
      <c r="R91" s="3"/>
      <c r="S91" s="3"/>
      <c r="T91" s="3"/>
      <c r="U91" s="3"/>
      <c r="V91" s="3"/>
      <c r="W91" s="3"/>
      <c r="X91" s="3"/>
      <c r="Y91" s="3"/>
      <c r="Z91" s="3"/>
      <c r="AA91" s="3"/>
      <c r="AB91" s="3"/>
      <c r="AC91" s="3"/>
      <c r="AD91" s="3"/>
      <c r="AE91" s="3"/>
      <c r="AF91" s="3"/>
    </row>
    <row r="92" spans="1:32" ht="15" x14ac:dyDescent="0.25">
      <c r="A92" s="3"/>
      <c r="B92" s="1621" t="s">
        <v>95</v>
      </c>
      <c r="C92" s="1622">
        <f>SUM(C86:C91)</f>
        <v>-7.4954002019873522</v>
      </c>
      <c r="D92" s="3"/>
      <c r="E92" s="1618"/>
      <c r="F92" s="1618"/>
      <c r="G92" s="1618"/>
      <c r="H92" s="1618"/>
      <c r="I92" s="1618"/>
      <c r="J92" s="1618"/>
      <c r="K92" s="3"/>
      <c r="L92" s="3"/>
      <c r="M92" s="3"/>
      <c r="N92" s="3"/>
      <c r="O92" s="3"/>
      <c r="P92" s="3"/>
      <c r="Q92" s="3"/>
      <c r="R92" s="3"/>
      <c r="S92" s="3"/>
      <c r="T92" s="3"/>
      <c r="U92" s="3"/>
      <c r="V92" s="3"/>
      <c r="W92" s="3"/>
      <c r="X92" s="3"/>
      <c r="Y92" s="3"/>
      <c r="Z92" s="3"/>
      <c r="AA92" s="3"/>
      <c r="AB92" s="3"/>
      <c r="AC92" s="3"/>
      <c r="AD92" s="3"/>
      <c r="AE92" s="3"/>
      <c r="AF92" s="3"/>
    </row>
    <row r="93" spans="1:32" ht="15" x14ac:dyDescent="0.2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ht="15"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ht="15" x14ac:dyDescent="0.25">
      <c r="A95" s="3"/>
      <c r="B95" s="1588" t="s">
        <v>514</v>
      </c>
      <c r="C95" s="1589"/>
      <c r="D95" s="1589"/>
      <c r="E95" s="1589"/>
      <c r="F95" s="1589"/>
      <c r="G95" s="1589"/>
      <c r="H95" s="3"/>
      <c r="I95" s="3"/>
      <c r="J95" s="3"/>
      <c r="K95" s="3"/>
      <c r="L95" s="3"/>
      <c r="M95" s="3"/>
      <c r="N95" s="3"/>
      <c r="O95" s="3"/>
      <c r="P95" s="3"/>
      <c r="Q95" s="3"/>
      <c r="R95" s="3"/>
      <c r="S95" s="3"/>
      <c r="T95" s="3"/>
      <c r="U95" s="3"/>
      <c r="V95" s="3"/>
      <c r="W95" s="3"/>
      <c r="X95" s="3"/>
      <c r="Y95" s="3"/>
      <c r="Z95" s="3"/>
      <c r="AA95" s="3"/>
      <c r="AB95" s="3"/>
      <c r="AC95" s="3"/>
      <c r="AD95" s="3"/>
      <c r="AE95" s="3"/>
      <c r="AF95" s="3"/>
    </row>
    <row r="96" spans="1:32" ht="15" x14ac:dyDescent="0.25">
      <c r="A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ht="15" x14ac:dyDescent="0.25">
      <c r="A97" s="3"/>
      <c r="B97" s="1323" t="s">
        <v>1356</v>
      </c>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row>
    <row r="98" spans="1:32" ht="15" x14ac:dyDescent="0.25">
      <c r="A98" s="3"/>
      <c r="B98" s="1614" t="s">
        <v>1331</v>
      </c>
      <c r="C98" s="1604">
        <v>2006</v>
      </c>
      <c r="D98" s="1604">
        <v>2011</v>
      </c>
      <c r="E98" s="1604">
        <v>2014</v>
      </c>
      <c r="F98" s="1604">
        <v>2017</v>
      </c>
      <c r="G98" s="1604">
        <v>2020</v>
      </c>
      <c r="H98" s="1604">
        <v>2023</v>
      </c>
      <c r="I98" s="3"/>
      <c r="J98" s="3"/>
      <c r="K98" s="3"/>
      <c r="L98" s="3"/>
      <c r="M98" s="3"/>
      <c r="N98" s="3"/>
      <c r="O98" s="3"/>
      <c r="P98" s="3"/>
      <c r="Q98" s="3"/>
      <c r="R98" s="3"/>
      <c r="S98" s="3"/>
      <c r="T98" s="3"/>
      <c r="U98" s="3"/>
      <c r="V98" s="3"/>
      <c r="W98" s="3"/>
      <c r="X98" s="3"/>
      <c r="Y98" s="3"/>
      <c r="Z98" s="3"/>
      <c r="AA98" s="3"/>
      <c r="AB98" s="3"/>
      <c r="AC98" s="3"/>
      <c r="AD98" s="3"/>
      <c r="AE98" s="3"/>
      <c r="AF98" s="3"/>
    </row>
    <row r="99" spans="1:32" ht="15" x14ac:dyDescent="0.25">
      <c r="A99" s="3"/>
      <c r="B99" s="1623" t="s">
        <v>1357</v>
      </c>
      <c r="C99" s="1619">
        <v>-8.4802520728281365E-3</v>
      </c>
      <c r="D99" s="1619">
        <v>-1.2684842167839765E-2</v>
      </c>
      <c r="E99" s="1619">
        <v>-1.061836128E-2</v>
      </c>
      <c r="F99" s="1619">
        <v>-9.5545989087629721E-3</v>
      </c>
      <c r="G99" s="1619">
        <v>-0.04</v>
      </c>
      <c r="H99" s="1619">
        <v>-1.2999999999999999E-3</v>
      </c>
      <c r="I99" s="3"/>
      <c r="J99" s="3"/>
      <c r="K99" s="3"/>
      <c r="L99" s="3"/>
      <c r="M99" s="3"/>
      <c r="N99" s="3"/>
      <c r="O99" s="3"/>
      <c r="P99" s="3"/>
      <c r="Q99" s="3"/>
      <c r="R99" s="3"/>
      <c r="S99" s="3"/>
      <c r="T99" s="3"/>
      <c r="U99" s="3"/>
      <c r="V99" s="3"/>
      <c r="W99" s="3"/>
      <c r="X99" s="3"/>
      <c r="Y99" s="3"/>
      <c r="Z99" s="3"/>
      <c r="AA99" s="3"/>
      <c r="AB99" s="3"/>
      <c r="AC99" s="3"/>
      <c r="AD99" s="3"/>
      <c r="AE99" s="3"/>
      <c r="AF99" s="3"/>
    </row>
    <row r="100" spans="1:32" ht="15" x14ac:dyDescent="0.25">
      <c r="A100" s="3"/>
      <c r="B100" s="1623" t="s">
        <v>1358</v>
      </c>
      <c r="C100" s="1619">
        <v>-6.1942198859260007E-2</v>
      </c>
      <c r="D100" s="1619">
        <v>-7.0873721137987705E-2</v>
      </c>
      <c r="E100" s="1619">
        <v>-5.6721999869999998E-2</v>
      </c>
      <c r="F100" s="1619">
        <v>-4.900786961971372E-2</v>
      </c>
      <c r="G100" s="1619">
        <v>-0.2</v>
      </c>
      <c r="H100" s="1619">
        <v>-5.62E-3</v>
      </c>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ht="15" x14ac:dyDescent="0.25">
      <c r="A101" s="3"/>
      <c r="B101" s="1623" t="s">
        <v>1359</v>
      </c>
      <c r="C101" s="1619">
        <v>-5.6039595623909609E-2</v>
      </c>
      <c r="D101" s="1619">
        <v>-6.4577261430635649E-2</v>
      </c>
      <c r="E101" s="1619">
        <v>-5.1412480519999998E-2</v>
      </c>
      <c r="F101" s="1619">
        <v>-4.4283838656574669E-2</v>
      </c>
      <c r="G101" s="1619">
        <v>-0.19</v>
      </c>
      <c r="H101" s="1619">
        <v>-3.7499999999999999E-3</v>
      </c>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ht="15" x14ac:dyDescent="0.25">
      <c r="A102" s="3"/>
      <c r="B102" s="1623" t="s">
        <v>1361</v>
      </c>
      <c r="C102" s="1619">
        <v>-5.821479238412712E-2</v>
      </c>
      <c r="D102" s="1619">
        <v>-7.0092372707812392E-2</v>
      </c>
      <c r="E102" s="1619">
        <v>-6.7201258309999998E-2</v>
      </c>
      <c r="F102" s="1619">
        <v>-6.5793765350723746E-2</v>
      </c>
      <c r="G102" s="1619">
        <v>-0.06</v>
      </c>
      <c r="H102" s="1619">
        <v>-7.5620000000000007E-2</v>
      </c>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ht="15" x14ac:dyDescent="0.25">
      <c r="A103" s="3"/>
      <c r="B103" s="1621" t="s">
        <v>95</v>
      </c>
      <c r="C103" s="1622">
        <f t="shared" ref="C103:H103" si="1">SUM(C99:C102)</f>
        <v>-0.18467683894012488</v>
      </c>
      <c r="D103" s="1622">
        <f t="shared" si="1"/>
        <v>-0.21822819744427552</v>
      </c>
      <c r="E103" s="1622">
        <f t="shared" si="1"/>
        <v>-0.18595409998000001</v>
      </c>
      <c r="F103" s="1622">
        <f t="shared" si="1"/>
        <v>-0.16864007253577512</v>
      </c>
      <c r="G103" s="1622">
        <f t="shared" si="1"/>
        <v>-0.49000000000000005</v>
      </c>
      <c r="H103" s="1622">
        <f t="shared" si="1"/>
        <v>-8.6290000000000006E-2</v>
      </c>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ht="15" x14ac:dyDescent="0.25">
      <c r="A104" s="3"/>
      <c r="B104" s="1624"/>
      <c r="C104" s="1625"/>
      <c r="D104" s="1625"/>
      <c r="E104" s="1625"/>
      <c r="F104" s="1625"/>
      <c r="G104" s="1625"/>
      <c r="H104" s="1625"/>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ht="15"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ht="15" x14ac:dyDescent="0.25">
      <c r="A106" s="3"/>
      <c r="B106" s="1323" t="s">
        <v>1363</v>
      </c>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ht="15" x14ac:dyDescent="0.25">
      <c r="A107" s="3"/>
      <c r="B107" s="1626"/>
      <c r="C107" s="1626"/>
      <c r="D107" s="1626"/>
      <c r="E107" s="1626"/>
      <c r="F107" s="1627"/>
      <c r="G107" s="1627"/>
      <c r="H107" s="959"/>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ht="15" x14ac:dyDescent="0.25">
      <c r="A108" s="3"/>
      <c r="B108" s="1614" t="s">
        <v>1331</v>
      </c>
      <c r="C108" s="1604">
        <v>2006</v>
      </c>
      <c r="D108" s="1604">
        <v>2011</v>
      </c>
      <c r="E108" s="1604">
        <v>2014</v>
      </c>
      <c r="F108" s="1604">
        <v>2017</v>
      </c>
      <c r="G108" s="1604">
        <v>2020</v>
      </c>
      <c r="H108" s="1604">
        <v>2023</v>
      </c>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ht="15" x14ac:dyDescent="0.25">
      <c r="A109" s="3"/>
      <c r="B109" s="1628" t="s">
        <v>1377</v>
      </c>
      <c r="C109" s="1629">
        <v>-0.72</v>
      </c>
      <c r="D109" s="1629">
        <v>-0.72</v>
      </c>
      <c r="E109" s="1629">
        <v>-0.72</v>
      </c>
      <c r="F109" s="1629">
        <v>-0.72</v>
      </c>
      <c r="G109" s="1630">
        <v>-0.72</v>
      </c>
      <c r="H109" s="1630">
        <v>-0.72</v>
      </c>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ht="15"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row>
    <row r="111" spans="1:32" ht="15"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row>
    <row r="112" spans="1:32" ht="15"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row>
    <row r="113" spans="1:32" ht="15" x14ac:dyDescent="0.25">
      <c r="A113" s="3"/>
      <c r="B113" s="1588" t="s">
        <v>515</v>
      </c>
      <c r="C113" s="1589"/>
      <c r="D113" s="1589"/>
      <c r="E113" s="1589"/>
      <c r="F113" s="1589"/>
      <c r="G113" s="1589"/>
      <c r="H113" s="1589"/>
      <c r="I113" s="3"/>
      <c r="J113" s="3"/>
      <c r="K113" s="3"/>
      <c r="L113" s="3"/>
      <c r="M113" s="3"/>
      <c r="N113" s="3"/>
      <c r="O113" s="3"/>
      <c r="P113" s="3"/>
      <c r="Q113" s="3"/>
      <c r="R113" s="3"/>
      <c r="S113" s="3"/>
      <c r="T113" s="3"/>
      <c r="U113" s="3"/>
      <c r="V113" s="3"/>
      <c r="W113" s="3"/>
      <c r="X113" s="3"/>
      <c r="Y113" s="3"/>
      <c r="Z113" s="3"/>
      <c r="AA113" s="3"/>
      <c r="AB113" s="3"/>
      <c r="AC113" s="3"/>
      <c r="AD113" s="3"/>
      <c r="AE113" s="3"/>
      <c r="AF113" s="3"/>
    </row>
    <row r="114" spans="1:32" ht="15" x14ac:dyDescent="0.25">
      <c r="A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row>
    <row r="115" spans="1:32" ht="36.75" x14ac:dyDescent="0.25">
      <c r="A115" s="3"/>
      <c r="B115" s="1631" t="s">
        <v>655</v>
      </c>
      <c r="C115" s="1632" t="s">
        <v>1584</v>
      </c>
      <c r="D115" s="1632" t="s">
        <v>1381</v>
      </c>
      <c r="E115" s="1632" t="s">
        <v>1585</v>
      </c>
      <c r="F115" s="1632" t="s">
        <v>1586</v>
      </c>
      <c r="G115" s="1632" t="s">
        <v>1587</v>
      </c>
      <c r="I115" s="3"/>
      <c r="J115" s="3"/>
      <c r="K115" s="3"/>
      <c r="L115" s="3"/>
      <c r="M115" s="3"/>
      <c r="N115" s="3"/>
      <c r="O115" s="3"/>
      <c r="P115" s="3"/>
      <c r="Q115" s="3"/>
      <c r="R115" s="3"/>
      <c r="S115" s="3"/>
      <c r="T115" s="3"/>
      <c r="U115" s="3"/>
      <c r="V115" s="3"/>
      <c r="W115" s="3"/>
      <c r="X115" s="3"/>
      <c r="Y115" s="3"/>
      <c r="Z115" s="3"/>
      <c r="AA115" s="3"/>
      <c r="AB115" s="3"/>
      <c r="AC115" s="3"/>
      <c r="AD115" s="3"/>
      <c r="AE115" s="3"/>
      <c r="AF115" s="3"/>
    </row>
    <row r="116" spans="1:32" ht="15" x14ac:dyDescent="0.25">
      <c r="A116" s="3"/>
      <c r="B116" s="1633">
        <v>2023</v>
      </c>
      <c r="C116" s="1634">
        <v>4022</v>
      </c>
      <c r="D116" s="1635">
        <v>0.01</v>
      </c>
      <c r="E116" s="1636">
        <f t="shared" ref="E116:E121" si="2">44/28</f>
        <v>1.5714285714285714</v>
      </c>
      <c r="F116" s="1636">
        <f t="shared" ref="F116:F121" si="3">C116*D116*E116</f>
        <v>63.202857142857141</v>
      </c>
      <c r="G116" s="1637">
        <f t="shared" ref="G116:G121" si="4">F116*K$6/1000000</f>
        <v>1.725438E-2</v>
      </c>
      <c r="I116" s="3"/>
      <c r="J116" s="3"/>
      <c r="K116" s="3"/>
      <c r="L116" s="3"/>
      <c r="M116" s="3"/>
      <c r="N116" s="3"/>
      <c r="O116" s="3"/>
      <c r="P116" s="3"/>
      <c r="Q116" s="3"/>
      <c r="R116" s="3"/>
      <c r="S116" s="3"/>
      <c r="T116" s="3"/>
      <c r="U116" s="3"/>
      <c r="V116" s="3"/>
      <c r="W116" s="3"/>
      <c r="X116" s="3"/>
      <c r="Y116" s="3"/>
      <c r="Z116" s="3"/>
      <c r="AA116" s="3"/>
      <c r="AB116" s="3"/>
      <c r="AC116" s="3"/>
      <c r="AD116" s="3"/>
      <c r="AE116" s="3"/>
      <c r="AF116" s="3"/>
    </row>
    <row r="117" spans="1:32" ht="15" x14ac:dyDescent="0.25">
      <c r="A117" s="3"/>
      <c r="B117" s="1633">
        <v>2020</v>
      </c>
      <c r="C117" s="1634">
        <v>4022</v>
      </c>
      <c r="D117" s="1635">
        <v>0.01</v>
      </c>
      <c r="E117" s="1636">
        <f t="shared" si="2"/>
        <v>1.5714285714285714</v>
      </c>
      <c r="F117" s="1636">
        <f t="shared" si="3"/>
        <v>63.202857142857141</v>
      </c>
      <c r="G117" s="1637">
        <f t="shared" si="4"/>
        <v>1.725438E-2</v>
      </c>
      <c r="I117" s="3"/>
      <c r="J117" s="3"/>
      <c r="K117" s="3"/>
      <c r="L117" s="3"/>
      <c r="M117" s="3"/>
      <c r="N117" s="3"/>
      <c r="O117" s="3"/>
      <c r="P117" s="3"/>
      <c r="Q117" s="3"/>
      <c r="R117" s="3"/>
      <c r="S117" s="3"/>
      <c r="T117" s="3"/>
      <c r="U117" s="3"/>
      <c r="V117" s="3"/>
      <c r="W117" s="3"/>
      <c r="X117" s="3"/>
      <c r="Y117" s="3"/>
      <c r="Z117" s="3"/>
      <c r="AA117" s="3"/>
      <c r="AB117" s="3"/>
      <c r="AC117" s="3"/>
      <c r="AD117" s="3"/>
      <c r="AE117" s="3"/>
      <c r="AF117" s="3"/>
    </row>
    <row r="118" spans="1:32" ht="15" x14ac:dyDescent="0.25">
      <c r="A118" s="3"/>
      <c r="B118" s="1633">
        <v>2017</v>
      </c>
      <c r="C118" s="1638">
        <v>4022</v>
      </c>
      <c r="D118" s="1639">
        <v>0.01</v>
      </c>
      <c r="E118" s="1636">
        <f t="shared" si="2"/>
        <v>1.5714285714285714</v>
      </c>
      <c r="F118" s="1636">
        <f t="shared" si="3"/>
        <v>63.202857142857141</v>
      </c>
      <c r="G118" s="1637">
        <f t="shared" si="4"/>
        <v>1.725438E-2</v>
      </c>
      <c r="I118" s="3"/>
      <c r="J118" s="3"/>
      <c r="K118" s="3"/>
      <c r="L118" s="3"/>
      <c r="M118" s="3"/>
      <c r="N118" s="3"/>
      <c r="O118" s="3"/>
      <c r="P118" s="3"/>
      <c r="Q118" s="3"/>
      <c r="R118" s="3"/>
      <c r="S118" s="3"/>
      <c r="T118" s="3"/>
      <c r="U118" s="3"/>
      <c r="V118" s="3"/>
      <c r="W118" s="3"/>
      <c r="X118" s="3"/>
      <c r="Y118" s="3"/>
      <c r="Z118" s="3"/>
      <c r="AA118" s="3"/>
      <c r="AB118" s="3"/>
      <c r="AC118" s="3"/>
      <c r="AD118" s="3"/>
      <c r="AE118" s="3"/>
      <c r="AF118" s="3"/>
    </row>
    <row r="119" spans="1:32" ht="15" x14ac:dyDescent="0.25">
      <c r="A119" s="3"/>
      <c r="B119" s="1633">
        <v>2014</v>
      </c>
      <c r="C119" s="1638">
        <v>4022</v>
      </c>
      <c r="D119" s="1639">
        <v>0.01</v>
      </c>
      <c r="E119" s="1636">
        <f t="shared" si="2"/>
        <v>1.5714285714285714</v>
      </c>
      <c r="F119" s="1636">
        <f t="shared" si="3"/>
        <v>63.202857142857141</v>
      </c>
      <c r="G119" s="1637">
        <f t="shared" si="4"/>
        <v>1.725438E-2</v>
      </c>
      <c r="I119" s="3"/>
      <c r="J119" s="3"/>
      <c r="K119" s="3"/>
      <c r="L119" s="3"/>
      <c r="M119" s="3"/>
      <c r="N119" s="3"/>
      <c r="O119" s="3"/>
      <c r="P119" s="3"/>
      <c r="Q119" s="3"/>
      <c r="R119" s="3"/>
      <c r="S119" s="3"/>
      <c r="T119" s="3"/>
      <c r="U119" s="3"/>
      <c r="V119" s="3"/>
      <c r="W119" s="3"/>
      <c r="X119" s="3"/>
      <c r="Y119" s="3"/>
      <c r="Z119" s="3"/>
      <c r="AA119" s="3"/>
      <c r="AB119" s="3"/>
      <c r="AC119" s="3"/>
      <c r="AD119" s="3"/>
      <c r="AE119" s="3"/>
      <c r="AF119" s="3"/>
    </row>
    <row r="120" spans="1:32" ht="15" x14ac:dyDescent="0.25">
      <c r="A120" s="3"/>
      <c r="B120" s="1633">
        <v>2011</v>
      </c>
      <c r="C120" s="1638">
        <v>3993</v>
      </c>
      <c r="D120" s="1639">
        <v>0.01</v>
      </c>
      <c r="E120" s="1636">
        <f t="shared" si="2"/>
        <v>1.5714285714285714</v>
      </c>
      <c r="F120" s="1636">
        <f t="shared" si="3"/>
        <v>62.747142857142855</v>
      </c>
      <c r="G120" s="1637">
        <f t="shared" si="4"/>
        <v>1.7129969999999998E-2</v>
      </c>
      <c r="I120" s="3"/>
      <c r="J120" s="3"/>
      <c r="K120" s="3"/>
      <c r="L120" s="3"/>
      <c r="M120" s="3"/>
      <c r="N120" s="3"/>
      <c r="O120" s="3"/>
      <c r="P120" s="3"/>
      <c r="Q120" s="3"/>
      <c r="R120" s="3"/>
      <c r="S120" s="3"/>
      <c r="T120" s="3"/>
      <c r="U120" s="3"/>
      <c r="V120" s="3"/>
      <c r="W120" s="3"/>
      <c r="X120" s="3"/>
      <c r="Y120" s="3"/>
      <c r="Z120" s="3"/>
      <c r="AA120" s="3"/>
      <c r="AB120" s="3"/>
      <c r="AC120" s="3"/>
      <c r="AD120" s="3"/>
      <c r="AE120" s="3"/>
      <c r="AF120" s="3"/>
    </row>
    <row r="121" spans="1:32" ht="15" x14ac:dyDescent="0.25">
      <c r="A121" s="3"/>
      <c r="B121" s="1633">
        <v>2006</v>
      </c>
      <c r="C121" s="1638">
        <v>4686</v>
      </c>
      <c r="D121" s="1639">
        <v>0.01</v>
      </c>
      <c r="E121" s="1636">
        <f t="shared" si="2"/>
        <v>1.5714285714285714</v>
      </c>
      <c r="F121" s="1636">
        <f t="shared" si="3"/>
        <v>73.637142857142848</v>
      </c>
      <c r="G121" s="1637">
        <f t="shared" si="4"/>
        <v>2.010294E-2</v>
      </c>
      <c r="I121" s="3"/>
      <c r="J121" s="3"/>
      <c r="K121" s="3"/>
      <c r="L121" s="3"/>
      <c r="M121" s="3"/>
      <c r="N121" s="3"/>
      <c r="O121" s="3"/>
      <c r="P121" s="3"/>
      <c r="Q121" s="3"/>
      <c r="R121" s="3"/>
      <c r="S121" s="3"/>
      <c r="T121" s="3"/>
      <c r="U121" s="3"/>
      <c r="V121" s="3"/>
      <c r="W121" s="3"/>
      <c r="X121" s="3"/>
      <c r="Y121" s="3"/>
      <c r="Z121" s="3"/>
      <c r="AA121" s="3"/>
      <c r="AB121" s="3"/>
      <c r="AC121" s="3"/>
      <c r="AD121" s="3"/>
      <c r="AE121" s="3"/>
      <c r="AF121" s="3"/>
    </row>
    <row r="122" spans="1:32" ht="15"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row>
    <row r="123" spans="1:32" ht="15"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row>
    <row r="124" spans="1:32" ht="15" x14ac:dyDescent="0.25">
      <c r="A124" s="3"/>
      <c r="B124" s="1588" t="s">
        <v>518</v>
      </c>
      <c r="C124" s="1589"/>
      <c r="D124" s="1589"/>
      <c r="E124" s="1589"/>
      <c r="F124" s="1589"/>
      <c r="G124" s="1589"/>
      <c r="H124" s="1589"/>
      <c r="I124" s="3"/>
      <c r="J124" s="3"/>
      <c r="K124" s="3"/>
      <c r="L124" s="3"/>
      <c r="M124" s="3"/>
      <c r="N124" s="3"/>
      <c r="O124" s="3"/>
      <c r="P124" s="3"/>
      <c r="Q124" s="3"/>
      <c r="R124" s="3"/>
      <c r="S124" s="3"/>
      <c r="T124" s="3"/>
      <c r="U124" s="3"/>
      <c r="V124" s="3"/>
      <c r="W124" s="3"/>
      <c r="X124" s="3"/>
      <c r="Y124" s="3"/>
      <c r="Z124" s="3"/>
      <c r="AA124" s="3"/>
      <c r="AB124" s="3"/>
      <c r="AC124" s="3"/>
      <c r="AD124" s="3"/>
      <c r="AE124" s="3"/>
      <c r="AF124" s="3"/>
    </row>
    <row r="125" spans="1:32" ht="15" x14ac:dyDescent="0.25">
      <c r="A125" s="3"/>
      <c r="B125" s="959" t="s">
        <v>1588</v>
      </c>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row>
    <row r="126" spans="1:32" ht="15" x14ac:dyDescent="0.25">
      <c r="A126" s="3"/>
      <c r="B126" s="1598" t="s">
        <v>1589</v>
      </c>
      <c r="C126" s="983"/>
      <c r="D126" s="983"/>
      <c r="E126" s="983"/>
      <c r="F126" s="983"/>
      <c r="G126" s="983"/>
      <c r="H126" s="959"/>
      <c r="I126" s="3"/>
      <c r="J126" s="3"/>
      <c r="K126" s="3"/>
      <c r="L126" s="3"/>
      <c r="M126" s="3"/>
      <c r="N126" s="3"/>
      <c r="O126" s="3"/>
      <c r="P126" s="3"/>
      <c r="Q126" s="3"/>
      <c r="R126" s="3"/>
      <c r="S126" s="3"/>
      <c r="T126" s="3"/>
      <c r="U126" s="3"/>
      <c r="V126" s="3"/>
      <c r="W126" s="3"/>
      <c r="X126" s="3"/>
      <c r="Y126" s="3"/>
      <c r="Z126" s="3"/>
      <c r="AA126" s="3"/>
      <c r="AB126" s="3"/>
      <c r="AC126" s="3"/>
      <c r="AD126" s="3"/>
      <c r="AE126" s="3"/>
      <c r="AF126" s="3"/>
    </row>
    <row r="127" spans="1:32" ht="15" x14ac:dyDescent="0.25">
      <c r="A127" s="3"/>
      <c r="B127" s="3"/>
      <c r="C127" s="983"/>
      <c r="D127" s="983"/>
      <c r="E127" s="983"/>
      <c r="F127" s="983"/>
      <c r="G127" s="983"/>
      <c r="H127" s="959"/>
      <c r="I127" s="3"/>
      <c r="J127" s="3"/>
      <c r="L127" s="3"/>
      <c r="M127" s="3"/>
      <c r="N127" s="3"/>
      <c r="O127" s="3"/>
      <c r="P127" s="3"/>
      <c r="Q127" s="3"/>
      <c r="R127" s="3"/>
      <c r="S127" s="3"/>
      <c r="T127" s="3"/>
      <c r="U127" s="3"/>
      <c r="V127" s="3"/>
      <c r="W127" s="3"/>
      <c r="X127" s="3"/>
      <c r="Y127" s="3"/>
      <c r="Z127" s="3"/>
      <c r="AA127" s="3"/>
      <c r="AB127" s="3"/>
      <c r="AC127" s="3"/>
      <c r="AD127" s="3"/>
      <c r="AE127" s="3"/>
      <c r="AF127" s="3"/>
    </row>
    <row r="128" spans="1:32" ht="15" x14ac:dyDescent="0.25">
      <c r="A128" s="3"/>
      <c r="B128" s="1323" t="s">
        <v>1590</v>
      </c>
      <c r="C128" s="983"/>
      <c r="D128" s="983"/>
      <c r="E128" s="983"/>
      <c r="F128" s="983"/>
      <c r="G128" s="983"/>
      <c r="H128" s="959"/>
      <c r="I128" s="3"/>
      <c r="J128" s="3"/>
      <c r="K128" s="3"/>
      <c r="L128" s="3"/>
      <c r="M128" s="3"/>
      <c r="N128" s="3"/>
      <c r="O128" s="3"/>
      <c r="P128" s="3"/>
      <c r="Q128" s="3"/>
      <c r="R128" s="3"/>
      <c r="S128" s="3"/>
      <c r="T128" s="3"/>
      <c r="U128" s="3"/>
      <c r="V128" s="3"/>
      <c r="W128" s="3"/>
      <c r="X128" s="3"/>
      <c r="Y128" s="3"/>
      <c r="Z128" s="3"/>
      <c r="AA128" s="3"/>
      <c r="AB128" s="3"/>
      <c r="AC128" s="3"/>
      <c r="AD128" s="3"/>
      <c r="AE128" s="3"/>
      <c r="AF128" s="3"/>
    </row>
    <row r="129" spans="1:32" ht="15" x14ac:dyDescent="0.25">
      <c r="A129" s="3"/>
      <c r="B129" s="959"/>
      <c r="C129" s="1604">
        <v>2006</v>
      </c>
      <c r="D129" s="1604">
        <v>2011</v>
      </c>
      <c r="E129" s="1604">
        <v>2014</v>
      </c>
      <c r="F129" s="1604">
        <v>2017</v>
      </c>
      <c r="G129" s="1604">
        <v>2020</v>
      </c>
      <c r="H129" s="1604">
        <v>2023</v>
      </c>
      <c r="I129" s="3"/>
      <c r="J129" s="3"/>
      <c r="K129" s="3"/>
      <c r="L129" s="3"/>
      <c r="M129" s="3"/>
      <c r="N129" s="3"/>
      <c r="O129" s="3"/>
      <c r="P129" s="3"/>
      <c r="Q129" s="3"/>
      <c r="R129" s="3"/>
      <c r="S129" s="3"/>
      <c r="T129" s="3"/>
      <c r="U129" s="3"/>
      <c r="V129" s="3"/>
      <c r="W129" s="3"/>
      <c r="X129" s="3"/>
      <c r="Y129" s="3"/>
      <c r="Z129" s="3"/>
      <c r="AA129" s="3"/>
      <c r="AB129" s="3"/>
      <c r="AC129" s="3"/>
      <c r="AD129" s="3"/>
      <c r="AE129" s="3"/>
      <c r="AF129" s="3"/>
    </row>
    <row r="130" spans="1:32" ht="15" x14ac:dyDescent="0.25">
      <c r="A130" s="3"/>
      <c r="B130" s="960" t="s">
        <v>1591</v>
      </c>
      <c r="C130" s="1640"/>
      <c r="D130" s="1640"/>
      <c r="E130" s="1640"/>
      <c r="F130" s="1640"/>
      <c r="G130" s="1640"/>
      <c r="H130" s="1640">
        <v>4482.8</v>
      </c>
      <c r="I130" s="3"/>
      <c r="J130" s="3"/>
      <c r="L130" s="3"/>
      <c r="M130" s="3"/>
      <c r="N130" s="3"/>
      <c r="O130" s="3"/>
      <c r="P130" s="3"/>
      <c r="Q130" s="3"/>
      <c r="R130" s="3"/>
      <c r="S130" s="3"/>
      <c r="T130" s="3"/>
      <c r="U130" s="3"/>
      <c r="V130" s="3"/>
      <c r="W130" s="3"/>
      <c r="X130" s="3"/>
      <c r="Y130" s="3"/>
      <c r="Z130" s="3"/>
      <c r="AA130" s="3"/>
      <c r="AB130" s="3"/>
      <c r="AC130" s="3"/>
      <c r="AD130" s="3"/>
      <c r="AE130" s="3"/>
      <c r="AF130" s="3"/>
    </row>
    <row r="131" spans="1:32" ht="15" x14ac:dyDescent="0.25">
      <c r="A131" s="3"/>
      <c r="B131" s="960" t="s">
        <v>1592</v>
      </c>
      <c r="C131" s="1640">
        <v>2458</v>
      </c>
      <c r="D131" s="1640">
        <v>3363</v>
      </c>
      <c r="E131" s="1640">
        <v>696</v>
      </c>
      <c r="F131" s="1640">
        <v>880</v>
      </c>
      <c r="G131" s="1640">
        <v>575.29999999999995</v>
      </c>
      <c r="H131" s="1640">
        <f>H130/2.47105</f>
        <v>1814.1275975799763</v>
      </c>
      <c r="I131" s="3"/>
      <c r="J131" s="1641"/>
      <c r="L131" s="3"/>
      <c r="M131" s="3"/>
      <c r="N131" s="3"/>
      <c r="O131" s="3"/>
      <c r="P131" s="3"/>
      <c r="Q131" s="3"/>
      <c r="R131" s="3"/>
      <c r="S131" s="3"/>
      <c r="T131" s="3"/>
      <c r="U131" s="3"/>
      <c r="V131" s="3"/>
      <c r="W131" s="3"/>
      <c r="X131" s="3"/>
      <c r="Y131" s="3"/>
      <c r="Z131" s="3"/>
      <c r="AA131" s="3"/>
      <c r="AB131" s="3"/>
      <c r="AC131" s="3"/>
      <c r="AD131" s="3"/>
      <c r="AE131" s="3"/>
      <c r="AF131" s="3"/>
    </row>
    <row r="132" spans="1:32" ht="15" x14ac:dyDescent="0.25">
      <c r="A132" s="3"/>
      <c r="B132" s="960" t="s">
        <v>1593</v>
      </c>
      <c r="C132" s="1640">
        <v>152440</v>
      </c>
      <c r="D132" s="1640">
        <v>152440</v>
      </c>
      <c r="E132" s="1640">
        <v>152440</v>
      </c>
      <c r="F132" s="1640">
        <v>152440</v>
      </c>
      <c r="G132" s="1640">
        <v>152440</v>
      </c>
      <c r="H132" s="1640">
        <v>152440</v>
      </c>
      <c r="I132" s="3"/>
      <c r="J132" s="3"/>
      <c r="M132" s="3"/>
      <c r="N132" s="3"/>
      <c r="O132" s="3"/>
      <c r="P132" s="3"/>
      <c r="Q132" s="3"/>
      <c r="R132" s="3"/>
      <c r="S132" s="3"/>
      <c r="T132" s="3"/>
      <c r="U132" s="3"/>
      <c r="V132" s="3"/>
      <c r="W132" s="3"/>
      <c r="X132" s="3"/>
      <c r="Y132" s="3"/>
      <c r="Z132" s="3"/>
      <c r="AA132" s="3"/>
      <c r="AB132" s="3"/>
      <c r="AC132" s="3"/>
      <c r="AD132" s="3"/>
      <c r="AE132" s="3"/>
      <c r="AF132" s="3"/>
    </row>
    <row r="133" spans="1:32" ht="15.75" thickBot="1" x14ac:dyDescent="0.3">
      <c r="A133" s="3"/>
      <c r="B133" s="1642" t="s">
        <v>1594</v>
      </c>
      <c r="C133" s="1643">
        <v>0.45</v>
      </c>
      <c r="D133" s="1643">
        <v>0.45</v>
      </c>
      <c r="E133" s="1643">
        <v>0.45</v>
      </c>
      <c r="F133" s="1643">
        <v>0.45</v>
      </c>
      <c r="G133" s="1643">
        <v>0.45</v>
      </c>
      <c r="H133" s="1643">
        <v>0.45</v>
      </c>
      <c r="I133" s="3"/>
      <c r="J133" s="3"/>
      <c r="K133" s="3"/>
      <c r="L133" s="3"/>
      <c r="M133" s="3"/>
      <c r="N133" s="3"/>
      <c r="O133" s="3"/>
      <c r="P133" s="3"/>
      <c r="Q133" s="3"/>
      <c r="R133" s="3"/>
      <c r="S133" s="3"/>
      <c r="T133" s="3"/>
      <c r="U133" s="3"/>
      <c r="V133" s="3"/>
      <c r="W133" s="3"/>
      <c r="X133" s="3"/>
      <c r="Y133" s="3"/>
      <c r="Z133" s="3"/>
      <c r="AA133" s="3"/>
      <c r="AB133" s="3"/>
      <c r="AC133" s="3"/>
      <c r="AD133" s="3"/>
      <c r="AE133" s="3"/>
      <c r="AF133" s="3"/>
    </row>
    <row r="134" spans="1:32" ht="15" x14ac:dyDescent="0.25">
      <c r="A134" s="3"/>
      <c r="B134" s="960" t="s">
        <v>1595</v>
      </c>
      <c r="C134" s="1644">
        <v>6.8</v>
      </c>
      <c r="D134" s="1644">
        <v>6.8</v>
      </c>
      <c r="E134" s="1644">
        <v>6.8</v>
      </c>
      <c r="F134" s="1644">
        <v>6.8</v>
      </c>
      <c r="G134" s="1644">
        <v>6.8</v>
      </c>
      <c r="H134" s="1644">
        <v>6.8</v>
      </c>
      <c r="I134" s="1618"/>
      <c r="J134" s="1618"/>
      <c r="K134" s="3"/>
      <c r="L134" s="3"/>
      <c r="M134" s="3"/>
      <c r="N134" s="3"/>
      <c r="O134" s="3"/>
      <c r="P134" s="3"/>
      <c r="Q134" s="3"/>
      <c r="R134" s="3"/>
      <c r="S134" s="3"/>
      <c r="T134" s="3"/>
      <c r="U134" s="3"/>
      <c r="V134" s="3"/>
      <c r="W134" s="3"/>
      <c r="X134" s="3"/>
      <c r="Y134" s="3"/>
      <c r="Z134" s="3"/>
      <c r="AA134" s="3"/>
      <c r="AB134" s="3"/>
      <c r="AC134" s="3"/>
      <c r="AD134" s="3"/>
      <c r="AE134" s="3"/>
      <c r="AF134" s="3"/>
    </row>
    <row r="135" spans="1:32" ht="15" x14ac:dyDescent="0.25">
      <c r="A135" s="3"/>
      <c r="B135" s="960" t="s">
        <v>1596</v>
      </c>
      <c r="C135" s="1640">
        <f t="shared" ref="C135:H135" si="5">(C131*C132*C133*C134)/1000/1000</f>
        <v>1146.5744112</v>
      </c>
      <c r="D135" s="1640">
        <f t="shared" si="5"/>
        <v>1568.7265032000003</v>
      </c>
      <c r="E135" s="1640">
        <f t="shared" si="5"/>
        <v>324.66061439999999</v>
      </c>
      <c r="F135" s="1640">
        <f t="shared" si="5"/>
        <v>410.490432</v>
      </c>
      <c r="G135" s="1640">
        <f t="shared" si="5"/>
        <v>268.35811991999998</v>
      </c>
      <c r="H135" s="1640">
        <f t="shared" si="5"/>
        <v>846.22956958378029</v>
      </c>
      <c r="I135" s="3"/>
      <c r="J135" s="3"/>
      <c r="K135" s="3"/>
      <c r="L135" s="3"/>
      <c r="M135" s="3"/>
      <c r="N135" s="3"/>
      <c r="O135" s="3"/>
      <c r="P135" s="3"/>
      <c r="Q135" s="3"/>
      <c r="R135" s="3"/>
      <c r="S135" s="3"/>
      <c r="T135" s="3"/>
      <c r="U135" s="3"/>
      <c r="V135" s="3"/>
      <c r="W135" s="3"/>
      <c r="X135" s="3"/>
      <c r="Y135" s="3"/>
      <c r="Z135" s="3"/>
      <c r="AA135" s="3"/>
      <c r="AB135" s="3"/>
      <c r="AC135" s="3"/>
      <c r="AD135" s="3"/>
      <c r="AE135" s="3"/>
      <c r="AF135" s="3"/>
    </row>
    <row r="136" spans="1:32" ht="15.75" thickBot="1" x14ac:dyDescent="0.3">
      <c r="A136" s="3"/>
      <c r="B136" s="1642" t="s">
        <v>1597</v>
      </c>
      <c r="C136" s="1645">
        <f t="shared" ref="C136:H136" si="6">C135*$K$5/1000000</f>
        <v>3.1989426072479996E-2</v>
      </c>
      <c r="D136" s="1645">
        <f t="shared" si="6"/>
        <v>4.3767469439280011E-2</v>
      </c>
      <c r="E136" s="1645">
        <f t="shared" si="6"/>
        <v>9.0580311417599989E-3</v>
      </c>
      <c r="F136" s="1645">
        <f t="shared" si="6"/>
        <v>1.1452683052799999E-2</v>
      </c>
      <c r="G136" s="1645">
        <f t="shared" si="6"/>
        <v>7.4871915457679992E-3</v>
      </c>
      <c r="H136" s="1645">
        <f t="shared" si="6"/>
        <v>2.3609804991387467E-2</v>
      </c>
      <c r="I136" s="3"/>
      <c r="J136" s="3"/>
      <c r="K136" s="3"/>
      <c r="L136" s="3"/>
      <c r="M136" s="3"/>
      <c r="N136" s="3"/>
      <c r="O136" s="3"/>
      <c r="P136" s="3"/>
      <c r="Q136" s="3"/>
      <c r="R136" s="3"/>
      <c r="S136" s="3"/>
      <c r="T136" s="3"/>
      <c r="U136" s="3"/>
      <c r="V136" s="3"/>
      <c r="W136" s="3"/>
      <c r="X136" s="3"/>
      <c r="Y136" s="3"/>
      <c r="Z136" s="3"/>
      <c r="AA136" s="3"/>
      <c r="AB136" s="3"/>
      <c r="AC136" s="3"/>
      <c r="AD136" s="3"/>
      <c r="AE136" s="3"/>
      <c r="AF136" s="3"/>
    </row>
    <row r="137" spans="1:32" ht="15" x14ac:dyDescent="0.25">
      <c r="A137" s="3"/>
      <c r="B137" s="1623" t="s">
        <v>1598</v>
      </c>
      <c r="C137" s="1644">
        <v>0.2</v>
      </c>
      <c r="D137" s="1644">
        <v>0.2</v>
      </c>
      <c r="E137" s="1644">
        <v>0.2</v>
      </c>
      <c r="F137" s="1644">
        <v>0.2</v>
      </c>
      <c r="G137" s="1644">
        <v>0.2</v>
      </c>
      <c r="H137" s="1644">
        <v>0.2</v>
      </c>
      <c r="I137" s="1618"/>
      <c r="J137" s="1618"/>
      <c r="K137" s="3"/>
      <c r="L137" s="3"/>
      <c r="M137" s="3"/>
      <c r="N137" s="3"/>
      <c r="O137" s="3"/>
      <c r="P137" s="3"/>
      <c r="Q137" s="3"/>
      <c r="R137" s="3"/>
      <c r="S137" s="3"/>
      <c r="T137" s="3"/>
      <c r="U137" s="3"/>
      <c r="V137" s="3"/>
      <c r="W137" s="3"/>
      <c r="X137" s="3"/>
      <c r="Y137" s="3"/>
      <c r="Z137" s="3"/>
      <c r="AA137" s="3"/>
      <c r="AB137" s="3"/>
      <c r="AC137" s="3"/>
      <c r="AD137" s="3"/>
      <c r="AE137" s="3"/>
      <c r="AF137" s="3"/>
    </row>
    <row r="138" spans="1:32" ht="15" x14ac:dyDescent="0.25">
      <c r="A138" s="3"/>
      <c r="B138" s="960" t="s">
        <v>1599</v>
      </c>
      <c r="C138" s="1640">
        <f t="shared" ref="C138:H138" si="7">(C131*C132*C133*C137)/1000/1000</f>
        <v>33.722776800000005</v>
      </c>
      <c r="D138" s="1640">
        <f t="shared" si="7"/>
        <v>46.139014800000005</v>
      </c>
      <c r="E138" s="1640">
        <f t="shared" si="7"/>
        <v>9.5488415999999994</v>
      </c>
      <c r="F138" s="1640">
        <f t="shared" si="7"/>
        <v>12.073248</v>
      </c>
      <c r="G138" s="1640">
        <f t="shared" si="7"/>
        <v>7.8928858799999997</v>
      </c>
      <c r="H138" s="1640">
        <f t="shared" si="7"/>
        <v>24.889104987758245</v>
      </c>
      <c r="I138" s="3"/>
      <c r="J138" s="3"/>
      <c r="K138" s="3"/>
      <c r="L138" s="3"/>
      <c r="M138" s="3"/>
      <c r="N138" s="3"/>
      <c r="O138" s="3"/>
      <c r="P138" s="3"/>
      <c r="Q138" s="3"/>
      <c r="R138" s="3"/>
      <c r="S138" s="3"/>
      <c r="T138" s="3"/>
      <c r="U138" s="3"/>
      <c r="V138" s="3"/>
      <c r="W138" s="3"/>
      <c r="X138" s="3"/>
      <c r="Y138" s="3"/>
      <c r="Z138" s="3"/>
      <c r="AA138" s="3"/>
      <c r="AB138" s="3"/>
      <c r="AC138" s="3"/>
      <c r="AD138" s="3"/>
      <c r="AE138" s="3"/>
      <c r="AF138" s="3"/>
    </row>
    <row r="139" spans="1:32" ht="15.75" thickBot="1" x14ac:dyDescent="0.3">
      <c r="A139" s="3"/>
      <c r="B139" s="1642" t="s">
        <v>1600</v>
      </c>
      <c r="C139" s="1645">
        <f t="shared" ref="C139:H139" si="8">C138*$K$6/1000000</f>
        <v>9.2063180664000016E-3</v>
      </c>
      <c r="D139" s="1645">
        <f t="shared" si="8"/>
        <v>1.25959510404E-2</v>
      </c>
      <c r="E139" s="1645">
        <f t="shared" si="8"/>
        <v>2.6068337567999996E-3</v>
      </c>
      <c r="F139" s="1645">
        <f t="shared" si="8"/>
        <v>3.2959967039999996E-3</v>
      </c>
      <c r="G139" s="1645">
        <f t="shared" si="8"/>
        <v>2.1547578452399997E-3</v>
      </c>
      <c r="H139" s="1645">
        <f t="shared" si="8"/>
        <v>6.7947256616580007E-3</v>
      </c>
      <c r="I139" s="3"/>
      <c r="J139" s="3"/>
      <c r="K139" s="3"/>
      <c r="L139" s="3"/>
      <c r="M139" s="3"/>
      <c r="N139" s="3"/>
      <c r="O139" s="3"/>
      <c r="P139" s="3"/>
      <c r="Q139" s="3"/>
      <c r="R139" s="3"/>
      <c r="S139" s="3"/>
      <c r="T139" s="3"/>
      <c r="U139" s="3"/>
      <c r="V139" s="3"/>
      <c r="W139" s="3"/>
      <c r="X139" s="3"/>
      <c r="Y139" s="3"/>
      <c r="Z139" s="3"/>
      <c r="AA139" s="3"/>
      <c r="AB139" s="3"/>
      <c r="AC139" s="3"/>
      <c r="AD139" s="3"/>
      <c r="AE139" s="3"/>
      <c r="AF139" s="3"/>
    </row>
    <row r="140" spans="1:32" ht="15" x14ac:dyDescent="0.25">
      <c r="A140" s="3"/>
      <c r="I140" s="3"/>
      <c r="J140" s="3"/>
      <c r="K140" s="3"/>
      <c r="L140" s="3"/>
      <c r="M140" s="3"/>
      <c r="N140" s="3"/>
      <c r="O140" s="3"/>
      <c r="P140" s="3"/>
      <c r="Q140" s="3"/>
      <c r="R140" s="3"/>
      <c r="S140" s="3"/>
      <c r="T140" s="3"/>
      <c r="U140" s="3"/>
      <c r="V140" s="3"/>
      <c r="W140" s="3"/>
      <c r="X140" s="3"/>
      <c r="Y140" s="3"/>
      <c r="Z140" s="3"/>
      <c r="AA140" s="3"/>
      <c r="AB140" s="3"/>
      <c r="AC140" s="3"/>
      <c r="AD140" s="3"/>
      <c r="AE140" s="3"/>
      <c r="AF140" s="3"/>
    </row>
    <row r="141" spans="1:32" ht="15" x14ac:dyDescent="0.25">
      <c r="A141" s="3"/>
      <c r="B141" s="1323" t="s">
        <v>1601</v>
      </c>
      <c r="C141" s="983"/>
      <c r="D141" s="983"/>
      <c r="E141" s="983"/>
      <c r="F141" s="983"/>
      <c r="G141" s="983"/>
      <c r="H141" s="959"/>
      <c r="I141" s="3"/>
      <c r="J141" s="3"/>
      <c r="K141" s="3"/>
      <c r="L141" s="3"/>
      <c r="M141" s="3"/>
      <c r="N141" s="3"/>
      <c r="O141" s="3"/>
      <c r="P141" s="3"/>
      <c r="Q141" s="3"/>
      <c r="R141" s="3"/>
      <c r="S141" s="3"/>
      <c r="T141" s="3"/>
      <c r="U141" s="3"/>
      <c r="V141" s="3"/>
      <c r="W141" s="3"/>
      <c r="X141" s="3"/>
      <c r="Y141" s="3"/>
      <c r="Z141" s="3"/>
      <c r="AA141" s="3"/>
      <c r="AB141" s="3"/>
      <c r="AC141" s="3"/>
      <c r="AD141" s="3"/>
      <c r="AE141" s="3"/>
      <c r="AF141" s="3"/>
    </row>
    <row r="142" spans="1:32" ht="15" x14ac:dyDescent="0.25">
      <c r="A142" s="3"/>
      <c r="B142" s="959"/>
      <c r="C142" s="1604">
        <v>2006</v>
      </c>
      <c r="D142" s="1604">
        <v>2011</v>
      </c>
      <c r="E142" s="1604">
        <v>2014</v>
      </c>
      <c r="F142" s="1604">
        <v>2017</v>
      </c>
      <c r="G142" s="1604">
        <v>2020</v>
      </c>
      <c r="H142" s="1604">
        <v>2023</v>
      </c>
      <c r="I142" s="3"/>
      <c r="J142" s="3"/>
      <c r="K142" s="3"/>
      <c r="L142" s="3"/>
      <c r="M142" s="3"/>
      <c r="N142" s="3"/>
      <c r="O142" s="3"/>
      <c r="P142" s="3"/>
      <c r="Q142" s="3"/>
      <c r="R142" s="3"/>
      <c r="S142" s="3"/>
      <c r="T142" s="3"/>
      <c r="U142" s="3"/>
      <c r="V142" s="3"/>
      <c r="W142" s="3"/>
      <c r="X142" s="3"/>
      <c r="Y142" s="3"/>
      <c r="Z142" s="3"/>
      <c r="AA142" s="3"/>
      <c r="AB142" s="3"/>
      <c r="AC142" s="3"/>
      <c r="AD142" s="3"/>
      <c r="AE142" s="3"/>
      <c r="AF142" s="3"/>
    </row>
    <row r="143" spans="1:32" ht="15" x14ac:dyDescent="0.25">
      <c r="A143" s="3"/>
      <c r="B143" s="960" t="s">
        <v>1591</v>
      </c>
      <c r="C143" s="1640"/>
      <c r="D143" s="1640"/>
      <c r="E143" s="1640"/>
      <c r="F143" s="1640"/>
      <c r="G143" s="1640"/>
      <c r="H143" s="1640">
        <v>9188</v>
      </c>
      <c r="I143" s="3"/>
      <c r="J143" s="3"/>
      <c r="K143" s="3"/>
      <c r="L143" s="3"/>
      <c r="M143" s="3"/>
      <c r="N143" s="3"/>
      <c r="O143" s="3"/>
      <c r="P143" s="3"/>
      <c r="Q143" s="3"/>
      <c r="R143" s="3"/>
      <c r="S143" s="3"/>
      <c r="T143" s="3"/>
      <c r="U143" s="3"/>
      <c r="V143" s="3"/>
      <c r="W143" s="3"/>
      <c r="X143" s="3"/>
      <c r="Y143" s="3"/>
      <c r="Z143" s="3"/>
      <c r="AA143" s="3"/>
      <c r="AB143" s="3"/>
      <c r="AC143" s="3"/>
      <c r="AD143" s="3"/>
      <c r="AE143" s="3"/>
      <c r="AF143" s="3"/>
    </row>
    <row r="144" spans="1:32" ht="15" x14ac:dyDescent="0.25">
      <c r="A144" s="3"/>
      <c r="B144" s="960" t="s">
        <v>1592</v>
      </c>
      <c r="C144" s="1640">
        <v>202.7</v>
      </c>
      <c r="D144" s="1640">
        <v>295.2</v>
      </c>
      <c r="E144" s="1640">
        <v>440.5</v>
      </c>
      <c r="F144" s="1640">
        <v>604.9</v>
      </c>
      <c r="G144" s="1640">
        <v>181.3</v>
      </c>
      <c r="H144" s="1640">
        <f>H143/2.47105</f>
        <v>3718.2574209344207</v>
      </c>
      <c r="I144" s="3"/>
      <c r="J144" s="3"/>
      <c r="K144" s="3"/>
      <c r="L144" s="3"/>
      <c r="M144" s="3"/>
      <c r="N144" s="3"/>
      <c r="O144" s="3"/>
      <c r="P144" s="3"/>
      <c r="Q144" s="3"/>
      <c r="R144" s="3"/>
      <c r="S144" s="3"/>
      <c r="T144" s="3"/>
      <c r="U144" s="3"/>
      <c r="V144" s="3"/>
      <c r="W144" s="3"/>
      <c r="X144" s="3"/>
      <c r="Y144" s="3"/>
      <c r="Z144" s="3"/>
      <c r="AA144" s="3"/>
      <c r="AB144" s="3"/>
      <c r="AC144" s="3"/>
      <c r="AD144" s="3"/>
      <c r="AE144" s="3"/>
      <c r="AF144" s="3"/>
    </row>
    <row r="145" spans="1:32" ht="15" x14ac:dyDescent="0.25">
      <c r="A145" s="3"/>
      <c r="B145" s="960" t="s">
        <v>1593</v>
      </c>
      <c r="C145" s="1640">
        <v>152440</v>
      </c>
      <c r="D145" s="1640">
        <v>152440</v>
      </c>
      <c r="E145" s="1640">
        <v>152440</v>
      </c>
      <c r="F145" s="1640">
        <v>152440</v>
      </c>
      <c r="G145" s="1640">
        <v>152440</v>
      </c>
      <c r="H145" s="1640">
        <v>152440</v>
      </c>
      <c r="I145" s="3"/>
      <c r="J145" s="3"/>
      <c r="K145" s="3"/>
      <c r="L145" s="3"/>
      <c r="M145" s="3"/>
      <c r="N145" s="3"/>
      <c r="O145" s="3"/>
      <c r="P145" s="3"/>
      <c r="Q145" s="3"/>
      <c r="R145" s="3"/>
      <c r="S145" s="3"/>
      <c r="T145" s="3"/>
      <c r="U145" s="3"/>
      <c r="V145" s="3"/>
      <c r="W145" s="3"/>
      <c r="X145" s="3"/>
      <c r="Y145" s="3"/>
      <c r="Z145" s="3"/>
      <c r="AA145" s="3"/>
      <c r="AB145" s="3"/>
      <c r="AC145" s="3"/>
      <c r="AD145" s="3"/>
      <c r="AE145" s="3"/>
      <c r="AF145" s="3"/>
    </row>
    <row r="146" spans="1:32" ht="15.75" thickBot="1" x14ac:dyDescent="0.3">
      <c r="A146" s="3"/>
      <c r="B146" s="1642" t="s">
        <v>1602</v>
      </c>
      <c r="C146" s="1643">
        <v>0.72</v>
      </c>
      <c r="D146" s="1643">
        <v>0.72</v>
      </c>
      <c r="E146" s="1643">
        <v>0.72</v>
      </c>
      <c r="F146" s="1643">
        <v>0.72</v>
      </c>
      <c r="G146" s="1643">
        <v>0.72</v>
      </c>
      <c r="H146" s="1643">
        <v>0.72</v>
      </c>
      <c r="I146" s="3"/>
      <c r="J146" s="3"/>
      <c r="K146" s="3"/>
      <c r="L146" s="3"/>
      <c r="M146" s="3"/>
      <c r="N146" s="3"/>
      <c r="O146" s="3"/>
      <c r="P146" s="3"/>
      <c r="Q146" s="3"/>
      <c r="R146" s="3"/>
      <c r="S146" s="3"/>
      <c r="T146" s="3"/>
      <c r="U146" s="3"/>
      <c r="V146" s="3"/>
      <c r="W146" s="3"/>
      <c r="X146" s="3"/>
      <c r="Y146" s="3"/>
      <c r="Z146" s="3"/>
      <c r="AA146" s="3"/>
      <c r="AB146" s="3"/>
      <c r="AC146" s="3"/>
      <c r="AD146" s="3"/>
      <c r="AE146" s="3"/>
      <c r="AF146" s="3"/>
    </row>
    <row r="147" spans="1:32" ht="15" x14ac:dyDescent="0.25">
      <c r="A147" s="3"/>
      <c r="B147" s="960" t="s">
        <v>1595</v>
      </c>
      <c r="C147" s="1644">
        <v>6.8</v>
      </c>
      <c r="D147" s="1644">
        <v>6.8</v>
      </c>
      <c r="E147" s="1644">
        <v>6.8</v>
      </c>
      <c r="F147" s="1644">
        <v>6.8</v>
      </c>
      <c r="G147" s="1644">
        <v>6.8</v>
      </c>
      <c r="H147" s="1644">
        <v>6.8</v>
      </c>
      <c r="I147" s="1618"/>
      <c r="J147" s="3"/>
      <c r="K147" s="3"/>
      <c r="L147" s="3"/>
      <c r="M147" s="3"/>
      <c r="N147" s="3"/>
      <c r="O147" s="3"/>
      <c r="P147" s="3"/>
      <c r="Q147" s="3"/>
      <c r="R147" s="3"/>
      <c r="S147" s="3"/>
      <c r="T147" s="3"/>
      <c r="U147" s="3"/>
      <c r="V147" s="3"/>
      <c r="W147" s="3"/>
      <c r="X147" s="3"/>
      <c r="Y147" s="3"/>
      <c r="Z147" s="3"/>
      <c r="AA147" s="3"/>
      <c r="AB147" s="3"/>
      <c r="AC147" s="3"/>
      <c r="AD147" s="3"/>
      <c r="AE147" s="3"/>
      <c r="AF147" s="3"/>
    </row>
    <row r="148" spans="1:32" ht="15" x14ac:dyDescent="0.25">
      <c r="A148" s="3"/>
      <c r="B148" s="960" t="s">
        <v>1596</v>
      </c>
      <c r="C148" s="1640">
        <f>(C144*C145*C146*C147)/1000/1000</f>
        <v>151.28438284799998</v>
      </c>
      <c r="D148" s="1640">
        <f t="shared" ref="D148:H148" si="9">(D144*D145*D146*D147)/1000/1000</f>
        <v>220.32141004799999</v>
      </c>
      <c r="E148" s="1640">
        <f t="shared" si="9"/>
        <v>328.76551871999999</v>
      </c>
      <c r="F148" s="1640">
        <f t="shared" si="9"/>
        <v>451.46484057599997</v>
      </c>
      <c r="G148" s="1640">
        <f t="shared" si="9"/>
        <v>135.31257331199998</v>
      </c>
      <c r="H148" s="1640">
        <f t="shared" si="9"/>
        <v>2775.1074454665018</v>
      </c>
      <c r="I148" s="3"/>
      <c r="J148" s="3"/>
      <c r="K148" s="3"/>
      <c r="L148" s="3"/>
      <c r="M148" s="3"/>
      <c r="N148" s="3"/>
      <c r="O148" s="3"/>
      <c r="P148" s="3"/>
      <c r="Q148" s="3"/>
      <c r="R148" s="3"/>
      <c r="S148" s="3"/>
      <c r="T148" s="3"/>
      <c r="U148" s="3"/>
      <c r="V148" s="3"/>
      <c r="W148" s="3"/>
      <c r="X148" s="3"/>
      <c r="Y148" s="3"/>
      <c r="Z148" s="3"/>
      <c r="AA148" s="3"/>
      <c r="AB148" s="3"/>
      <c r="AC148" s="3"/>
      <c r="AD148" s="3"/>
      <c r="AE148" s="3"/>
      <c r="AF148" s="3"/>
    </row>
    <row r="149" spans="1:32" ht="15.75" thickBot="1" x14ac:dyDescent="0.3">
      <c r="A149" s="3"/>
      <c r="B149" s="1642" t="s">
        <v>1597</v>
      </c>
      <c r="C149" s="1645">
        <f t="shared" ref="C149:H149" si="10">C148*$K$5/1000000</f>
        <v>4.2208342814591985E-3</v>
      </c>
      <c r="D149" s="1645">
        <f t="shared" si="10"/>
        <v>6.1469673403392001E-3</v>
      </c>
      <c r="E149" s="1645">
        <f t="shared" si="10"/>
        <v>9.1725579722879997E-3</v>
      </c>
      <c r="F149" s="1645">
        <f t="shared" si="10"/>
        <v>1.2595869052070399E-2</v>
      </c>
      <c r="G149" s="1645">
        <f t="shared" si="10"/>
        <v>3.7752207954047995E-3</v>
      </c>
      <c r="H149" s="1645">
        <f t="shared" si="10"/>
        <v>7.7425497728515397E-2</v>
      </c>
      <c r="I149" s="3"/>
      <c r="J149" s="3"/>
      <c r="K149" s="3"/>
      <c r="L149" s="3"/>
      <c r="M149" s="3"/>
      <c r="N149" s="3"/>
      <c r="O149" s="3"/>
      <c r="P149" s="3"/>
      <c r="Q149" s="3"/>
      <c r="R149" s="3"/>
      <c r="S149" s="3"/>
      <c r="T149" s="3"/>
      <c r="U149" s="3"/>
      <c r="V149" s="3"/>
      <c r="W149" s="3"/>
      <c r="X149" s="3"/>
      <c r="Y149" s="3"/>
      <c r="Z149" s="3"/>
      <c r="AA149" s="3"/>
      <c r="AB149" s="3"/>
      <c r="AC149" s="3"/>
      <c r="AD149" s="3"/>
      <c r="AE149" s="3"/>
      <c r="AF149" s="3"/>
    </row>
    <row r="150" spans="1:32" ht="15" x14ac:dyDescent="0.25">
      <c r="A150" s="3"/>
      <c r="B150" s="1623" t="s">
        <v>1598</v>
      </c>
      <c r="C150" s="1644">
        <v>0.2</v>
      </c>
      <c r="D150" s="1644">
        <v>0.2</v>
      </c>
      <c r="E150" s="1644">
        <v>0.2</v>
      </c>
      <c r="F150" s="1644">
        <v>0.2</v>
      </c>
      <c r="G150" s="1644">
        <v>0.2</v>
      </c>
      <c r="H150" s="1644">
        <v>0.2</v>
      </c>
      <c r="I150" s="1618"/>
      <c r="J150" s="3"/>
      <c r="K150" s="3"/>
      <c r="L150" s="3"/>
      <c r="M150" s="3"/>
      <c r="N150" s="3"/>
      <c r="O150" s="3"/>
      <c r="P150" s="3"/>
      <c r="Q150" s="3"/>
      <c r="R150" s="3"/>
      <c r="S150" s="3"/>
      <c r="T150" s="3"/>
      <c r="U150" s="3"/>
      <c r="V150" s="3"/>
      <c r="W150" s="3"/>
      <c r="X150" s="3"/>
      <c r="Y150" s="3"/>
      <c r="Z150" s="3"/>
      <c r="AA150" s="3"/>
      <c r="AB150" s="3"/>
      <c r="AC150" s="3"/>
      <c r="AD150" s="3"/>
      <c r="AE150" s="3"/>
      <c r="AF150" s="3"/>
    </row>
    <row r="151" spans="1:32" ht="15" x14ac:dyDescent="0.25">
      <c r="A151" s="3"/>
      <c r="B151" s="960" t="s">
        <v>1599</v>
      </c>
      <c r="C151" s="1640">
        <f t="shared" ref="C151:H151" si="11">(C144*C145*C146*C150)/1000/1000</f>
        <v>4.4495406720000004</v>
      </c>
      <c r="D151" s="1640">
        <f t="shared" si="11"/>
        <v>6.4800414719999999</v>
      </c>
      <c r="E151" s="1640">
        <f t="shared" si="11"/>
        <v>9.6695740800000003</v>
      </c>
      <c r="F151" s="1640">
        <f t="shared" si="11"/>
        <v>13.278377664000001</v>
      </c>
      <c r="G151" s="1640">
        <f t="shared" si="11"/>
        <v>3.9797815679999999</v>
      </c>
      <c r="H151" s="1640">
        <f t="shared" si="11"/>
        <v>81.620807219602995</v>
      </c>
      <c r="I151" s="3"/>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2" ht="15.75" thickBot="1" x14ac:dyDescent="0.3">
      <c r="A152" s="3"/>
      <c r="B152" s="1642" t="s">
        <v>1600</v>
      </c>
      <c r="C152" s="1645">
        <f t="shared" ref="C152:H152" si="12">C151*$K$6/1000000</f>
        <v>1.2147246034560002E-3</v>
      </c>
      <c r="D152" s="1645">
        <f t="shared" si="12"/>
        <v>1.769051321856E-3</v>
      </c>
      <c r="E152" s="1645">
        <f t="shared" si="12"/>
        <v>2.6397937238400002E-3</v>
      </c>
      <c r="F152" s="1645">
        <f t="shared" si="12"/>
        <v>3.6249971022719999E-3</v>
      </c>
      <c r="G152" s="1645">
        <f t="shared" si="12"/>
        <v>1.086480368064E-3</v>
      </c>
      <c r="H152" s="1645">
        <f t="shared" si="12"/>
        <v>2.2282480370951617E-2</v>
      </c>
      <c r="I152" s="3"/>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2" ht="15" x14ac:dyDescent="0.25">
      <c r="A153" s="3"/>
      <c r="I153" s="3"/>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2" ht="15" x14ac:dyDescent="0.25">
      <c r="A154" s="3"/>
      <c r="B154" s="1323" t="s">
        <v>1603</v>
      </c>
      <c r="I154" s="3"/>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2" ht="15" x14ac:dyDescent="0.25">
      <c r="A155" s="3"/>
      <c r="B155" s="959"/>
      <c r="C155" s="1604">
        <v>2006</v>
      </c>
      <c r="D155" s="1646">
        <v>2011</v>
      </c>
      <c r="E155" s="1646">
        <v>2014</v>
      </c>
      <c r="F155" s="1646">
        <v>2017</v>
      </c>
      <c r="G155" s="1646">
        <v>2020</v>
      </c>
      <c r="H155" s="1604">
        <v>2023</v>
      </c>
      <c r="I155" s="3"/>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2" ht="15" x14ac:dyDescent="0.25">
      <c r="A156" s="3"/>
      <c r="B156" s="960" t="s">
        <v>1597</v>
      </c>
      <c r="C156" s="1647">
        <f>C136+C149</f>
        <v>3.6210260353939192E-2</v>
      </c>
      <c r="D156" s="1647">
        <f t="shared" ref="D156:H156" si="13">D136+D149</f>
        <v>4.9914436779619209E-2</v>
      </c>
      <c r="E156" s="1647">
        <f t="shared" si="13"/>
        <v>1.8230589114047999E-2</v>
      </c>
      <c r="F156" s="1647">
        <f t="shared" si="13"/>
        <v>2.4048552104870398E-2</v>
      </c>
      <c r="G156" s="1647">
        <f t="shared" si="13"/>
        <v>1.1262412341172798E-2</v>
      </c>
      <c r="H156" s="1647">
        <f t="shared" si="13"/>
        <v>0.10103530271990287</v>
      </c>
      <c r="I156" s="3"/>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2" ht="15" x14ac:dyDescent="0.25">
      <c r="A157" s="3"/>
      <c r="B157" s="960" t="s">
        <v>1600</v>
      </c>
      <c r="C157" s="1647">
        <f t="shared" ref="C157:H157" si="14">C139+C152</f>
        <v>1.0421042669856002E-2</v>
      </c>
      <c r="D157" s="1647">
        <f t="shared" si="14"/>
        <v>1.4365002362256001E-2</v>
      </c>
      <c r="E157" s="1647">
        <f t="shared" si="14"/>
        <v>5.2466274806400003E-3</v>
      </c>
      <c r="F157" s="1647">
        <f t="shared" si="14"/>
        <v>6.9209938062719991E-3</v>
      </c>
      <c r="G157" s="1647">
        <f t="shared" si="14"/>
        <v>3.2412382133039999E-3</v>
      </c>
      <c r="H157" s="1647">
        <f t="shared" si="14"/>
        <v>2.9077206032609618E-2</v>
      </c>
      <c r="I157" s="3"/>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2" ht="15" x14ac:dyDescent="0.25">
      <c r="A158" s="3"/>
      <c r="B158" s="960" t="s">
        <v>1604</v>
      </c>
      <c r="C158" s="1648">
        <f>C156+C157</f>
        <v>4.6631303023795194E-2</v>
      </c>
      <c r="D158" s="1648">
        <f t="shared" ref="D158:H158" si="15">D156+D157</f>
        <v>6.4279439141875214E-2</v>
      </c>
      <c r="E158" s="1648">
        <f t="shared" si="15"/>
        <v>2.3477216594687999E-2</v>
      </c>
      <c r="F158" s="1648">
        <f t="shared" si="15"/>
        <v>3.0969545911142399E-2</v>
      </c>
      <c r="G158" s="1648">
        <f t="shared" si="15"/>
        <v>1.4503650554476798E-2</v>
      </c>
      <c r="H158" s="1648">
        <f t="shared" si="15"/>
        <v>0.13011250875251248</v>
      </c>
      <c r="I158" s="3"/>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2" ht="15" x14ac:dyDescent="0.25">
      <c r="A159" s="3"/>
      <c r="B159" s="3"/>
      <c r="C159" s="1649"/>
      <c r="D159" s="1649"/>
      <c r="E159" s="1649"/>
      <c r="F159" s="1649"/>
      <c r="G159" s="1649"/>
      <c r="H159" s="1649"/>
      <c r="I159" s="3"/>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2" ht="15"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row>
    <row r="161" spans="1:32" ht="15" x14ac:dyDescent="0.25">
      <c r="A161" s="3"/>
      <c r="B161" s="1588" t="s">
        <v>521</v>
      </c>
      <c r="C161" s="1589"/>
      <c r="D161" s="1589"/>
      <c r="E161" s="1589"/>
      <c r="F161" s="1589"/>
      <c r="G161" s="1589"/>
      <c r="H161" s="1589"/>
      <c r="I161" s="3"/>
      <c r="J161" s="3"/>
      <c r="K161" s="3"/>
      <c r="L161" s="3"/>
      <c r="M161" s="3"/>
      <c r="N161" s="3"/>
      <c r="O161" s="3"/>
      <c r="P161" s="3"/>
      <c r="Q161" s="3"/>
      <c r="R161" s="3"/>
      <c r="S161" s="3"/>
      <c r="T161" s="3"/>
      <c r="U161" s="3"/>
      <c r="V161" s="3"/>
      <c r="W161" s="3"/>
      <c r="X161" s="3"/>
      <c r="Y161" s="3"/>
      <c r="Z161" s="3"/>
      <c r="AA161" s="3"/>
      <c r="AB161" s="3"/>
      <c r="AC161" s="3"/>
      <c r="AD161" s="3"/>
      <c r="AE161" s="3"/>
      <c r="AF161" s="3"/>
    </row>
    <row r="162" spans="1:32" ht="15" x14ac:dyDescent="0.25">
      <c r="A162" s="3"/>
      <c r="B162" s="959"/>
      <c r="C162" s="959"/>
      <c r="D162" s="959"/>
      <c r="E162" s="959"/>
      <c r="F162" s="959"/>
      <c r="G162" s="959"/>
      <c r="H162" s="959"/>
      <c r="I162" s="3"/>
      <c r="J162" s="3"/>
      <c r="K162" s="3"/>
      <c r="L162" s="3"/>
      <c r="M162" s="3"/>
      <c r="N162" s="3"/>
      <c r="O162" s="3"/>
      <c r="P162" s="3"/>
      <c r="Q162" s="3"/>
      <c r="R162" s="3"/>
      <c r="S162" s="3"/>
      <c r="T162" s="3"/>
      <c r="U162" s="3"/>
      <c r="V162" s="3"/>
      <c r="W162" s="3"/>
      <c r="X162" s="3"/>
      <c r="Y162" s="3"/>
      <c r="Z162" s="3"/>
      <c r="AA162" s="3"/>
      <c r="AB162" s="3"/>
      <c r="AC162" s="3"/>
      <c r="AD162" s="3"/>
      <c r="AE162" s="3"/>
      <c r="AF162" s="3"/>
    </row>
    <row r="163" spans="1:32" ht="15" x14ac:dyDescent="0.25">
      <c r="A163" s="3"/>
      <c r="B163" s="1626"/>
      <c r="C163" s="1626"/>
      <c r="D163" s="1626"/>
      <c r="E163" s="1626"/>
      <c r="F163" s="1627"/>
      <c r="G163" s="1627"/>
      <c r="H163" s="959"/>
      <c r="I163" s="3"/>
      <c r="J163" s="3"/>
      <c r="K163" s="3"/>
      <c r="L163" s="3"/>
      <c r="M163" s="3"/>
      <c r="N163" s="3"/>
      <c r="O163" s="3"/>
      <c r="P163" s="3"/>
      <c r="Q163" s="3"/>
      <c r="R163" s="3"/>
      <c r="S163" s="3"/>
      <c r="T163" s="3"/>
      <c r="U163" s="3"/>
      <c r="V163" s="3"/>
      <c r="W163" s="3"/>
      <c r="X163" s="3"/>
      <c r="Y163" s="3"/>
      <c r="Z163" s="3"/>
      <c r="AA163" s="3"/>
      <c r="AB163" s="3"/>
      <c r="AC163" s="3"/>
      <c r="AD163" s="3"/>
      <c r="AE163" s="3"/>
      <c r="AF163" s="3"/>
    </row>
    <row r="164" spans="1:32" ht="15" x14ac:dyDescent="0.25">
      <c r="A164" s="3"/>
      <c r="B164" s="1614" t="s">
        <v>1331</v>
      </c>
      <c r="C164" s="1650">
        <v>2006</v>
      </c>
      <c r="D164" s="1650">
        <v>2011</v>
      </c>
      <c r="E164" s="1650">
        <v>2014</v>
      </c>
      <c r="F164" s="1650">
        <v>2017</v>
      </c>
      <c r="G164" s="1604">
        <v>2020</v>
      </c>
      <c r="H164" s="1604">
        <v>2023</v>
      </c>
      <c r="I164" s="3"/>
      <c r="J164" s="3"/>
      <c r="K164" s="3"/>
      <c r="L164" s="3"/>
      <c r="M164" s="3"/>
      <c r="N164" s="3"/>
      <c r="O164" s="3"/>
      <c r="P164" s="3"/>
      <c r="Q164" s="3"/>
      <c r="R164" s="3"/>
      <c r="S164" s="3"/>
      <c r="T164" s="3"/>
      <c r="U164" s="3"/>
      <c r="V164" s="3"/>
      <c r="W164" s="3"/>
      <c r="X164" s="3"/>
      <c r="Y164" s="3"/>
      <c r="Z164" s="3"/>
      <c r="AA164" s="3"/>
      <c r="AB164" s="3"/>
      <c r="AC164" s="3"/>
      <c r="AD164" s="3"/>
      <c r="AE164" s="3"/>
      <c r="AF164" s="3"/>
    </row>
    <row r="165" spans="1:32" ht="15" x14ac:dyDescent="0.25">
      <c r="A165" s="3"/>
      <c r="B165" s="1628" t="s">
        <v>1605</v>
      </c>
      <c r="C165" s="1651">
        <v>-0.41589139400000003</v>
      </c>
      <c r="D165" s="1651">
        <v>-0.58079230100000001</v>
      </c>
      <c r="E165" s="1651">
        <v>-0.50026980099999996</v>
      </c>
      <c r="F165" s="1651">
        <v>-0.60005773100000004</v>
      </c>
      <c r="G165" s="1652">
        <v>-0.69987347499999997</v>
      </c>
      <c r="H165" s="1652">
        <v>-0.936648598</v>
      </c>
      <c r="I165" s="3"/>
      <c r="J165" s="3"/>
      <c r="K165" s="3"/>
      <c r="L165" s="3"/>
      <c r="M165" s="3"/>
      <c r="N165" s="3"/>
      <c r="O165" s="3"/>
      <c r="P165" s="3"/>
      <c r="Q165" s="3"/>
      <c r="R165" s="3"/>
      <c r="S165" s="3"/>
      <c r="T165" s="3"/>
      <c r="U165" s="3"/>
      <c r="V165" s="3"/>
      <c r="W165" s="3"/>
      <c r="X165" s="3"/>
      <c r="Y165" s="3"/>
      <c r="Z165" s="3"/>
      <c r="AA165" s="3"/>
      <c r="AB165" s="3"/>
      <c r="AC165" s="3"/>
      <c r="AD165" s="3"/>
      <c r="AE165" s="3"/>
      <c r="AF165" s="3"/>
    </row>
    <row r="166" spans="1:32" ht="15" x14ac:dyDescent="0.25">
      <c r="A166" s="3"/>
      <c r="B166" s="161" t="s">
        <v>1606</v>
      </c>
      <c r="C166" s="959"/>
      <c r="D166" s="959"/>
      <c r="E166" s="959"/>
      <c r="F166" s="959"/>
      <c r="G166" s="959"/>
      <c r="H166" s="959"/>
      <c r="I166" s="3"/>
      <c r="J166" s="3"/>
      <c r="K166" s="3"/>
      <c r="L166" s="3"/>
      <c r="M166" s="3"/>
      <c r="N166" s="3"/>
      <c r="O166" s="3"/>
      <c r="P166" s="3"/>
      <c r="Q166" s="3"/>
      <c r="R166" s="3"/>
      <c r="S166" s="3"/>
      <c r="T166" s="3"/>
      <c r="U166" s="3"/>
      <c r="V166" s="3"/>
      <c r="W166" s="3"/>
      <c r="X166" s="3"/>
      <c r="Y166" s="3"/>
      <c r="Z166" s="3"/>
      <c r="AA166" s="3"/>
      <c r="AB166" s="3"/>
      <c r="AC166" s="3"/>
      <c r="AD166" s="3"/>
      <c r="AE166" s="3"/>
      <c r="AF166" s="3"/>
    </row>
    <row r="167" spans="1:32" ht="15" x14ac:dyDescent="0.25">
      <c r="A167" s="3"/>
      <c r="B167" s="3"/>
      <c r="C167" s="959"/>
      <c r="D167" s="959"/>
      <c r="E167" s="959"/>
      <c r="F167" s="959"/>
      <c r="G167" s="959"/>
      <c r="H167" s="959"/>
      <c r="I167" s="1618"/>
      <c r="J167" s="3"/>
      <c r="K167" s="3"/>
      <c r="L167" s="3"/>
      <c r="M167" s="3"/>
      <c r="N167" s="3"/>
      <c r="O167" s="3"/>
      <c r="P167" s="3"/>
      <c r="Q167" s="3"/>
      <c r="R167" s="3"/>
      <c r="S167" s="3"/>
      <c r="T167" s="3"/>
      <c r="U167" s="3"/>
      <c r="V167" s="3"/>
      <c r="W167" s="3"/>
      <c r="X167" s="3"/>
      <c r="Y167" s="3"/>
      <c r="Z167" s="3"/>
      <c r="AA167" s="3"/>
      <c r="AB167" s="3"/>
      <c r="AC167" s="3"/>
      <c r="AD167" s="3"/>
      <c r="AE167" s="3"/>
      <c r="AF167" s="3"/>
    </row>
    <row r="168" spans="1:32" ht="15"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row>
    <row r="169" spans="1:32" ht="15" x14ac:dyDescent="0.25">
      <c r="A169" s="3"/>
      <c r="B169" s="1588" t="s">
        <v>1412</v>
      </c>
      <c r="C169" s="1589"/>
      <c r="D169" s="1589"/>
      <c r="E169" s="1589"/>
      <c r="F169" s="1589"/>
      <c r="G169" s="1589"/>
      <c r="H169" s="1589"/>
      <c r="I169" s="1589"/>
      <c r="J169" s="1589"/>
      <c r="K169" s="1589"/>
      <c r="L169" s="1589"/>
      <c r="M169" s="1589"/>
      <c r="N169" s="1589"/>
      <c r="O169" s="1589"/>
      <c r="P169" s="1589"/>
      <c r="Q169" s="1589"/>
      <c r="R169" s="1589"/>
      <c r="S169" s="1589"/>
      <c r="T169" s="3"/>
      <c r="U169" s="3"/>
      <c r="V169" s="3"/>
      <c r="W169" s="3"/>
      <c r="X169" s="3"/>
      <c r="Y169" s="3"/>
      <c r="Z169" s="3"/>
      <c r="AA169" s="3"/>
      <c r="AB169" s="3"/>
      <c r="AC169" s="3"/>
      <c r="AD169" s="3"/>
      <c r="AE169" s="3"/>
      <c r="AF169" s="3"/>
    </row>
    <row r="170" spans="1:32" ht="15"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row>
    <row r="171" spans="1:32" ht="15" x14ac:dyDescent="0.25">
      <c r="A171" s="3"/>
      <c r="B171" s="1323" t="s">
        <v>1413</v>
      </c>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row>
    <row r="172" spans="1:32" ht="15" x14ac:dyDescent="0.25">
      <c r="A172" s="3"/>
      <c r="B172" s="959" t="s">
        <v>1607</v>
      </c>
      <c r="D172" s="983"/>
      <c r="E172" s="983"/>
      <c r="F172" s="983"/>
      <c r="G172" s="983"/>
      <c r="H172" s="983"/>
      <c r="I172" s="983"/>
      <c r="J172" s="983"/>
      <c r="K172" s="3"/>
      <c r="L172" s="3"/>
      <c r="M172" s="3"/>
      <c r="N172" s="3"/>
      <c r="O172" s="3"/>
      <c r="P172" s="3"/>
      <c r="Q172" s="3"/>
      <c r="R172" s="3"/>
      <c r="S172" s="3"/>
      <c r="T172" s="3"/>
      <c r="U172" s="3"/>
      <c r="V172" s="3"/>
      <c r="W172" s="3"/>
      <c r="X172" s="3"/>
      <c r="Y172" s="3"/>
      <c r="Z172" s="3"/>
      <c r="AA172" s="3"/>
      <c r="AB172" s="3"/>
      <c r="AC172" s="3"/>
      <c r="AD172" s="3"/>
      <c r="AE172" s="3"/>
      <c r="AF172" s="3"/>
    </row>
    <row r="173" spans="1:32" ht="15" x14ac:dyDescent="0.25">
      <c r="A173" s="3"/>
      <c r="B173" s="959" t="s">
        <v>1608</v>
      </c>
      <c r="D173" s="983"/>
      <c r="E173" s="983"/>
      <c r="F173" s="983"/>
      <c r="G173" s="983"/>
      <c r="H173" s="983"/>
      <c r="I173" s="983"/>
      <c r="J173" s="983"/>
      <c r="K173" s="3"/>
      <c r="L173" s="3"/>
      <c r="M173" s="3"/>
      <c r="N173" s="3"/>
      <c r="O173" s="3"/>
      <c r="P173" s="3"/>
      <c r="Q173" s="3"/>
      <c r="R173" s="3"/>
      <c r="S173" s="3"/>
      <c r="T173" s="3"/>
      <c r="U173" s="3"/>
      <c r="V173" s="3"/>
      <c r="W173" s="3"/>
      <c r="X173" s="3"/>
      <c r="Y173" s="3"/>
      <c r="Z173" s="3"/>
      <c r="AA173" s="3"/>
      <c r="AB173" s="3"/>
      <c r="AC173" s="3"/>
      <c r="AD173" s="3"/>
      <c r="AE173" s="3"/>
      <c r="AF173" s="3"/>
    </row>
    <row r="174" spans="1:32" ht="15" x14ac:dyDescent="0.25">
      <c r="A174" s="3"/>
      <c r="B174" s="959"/>
      <c r="D174" s="1653" t="s">
        <v>1414</v>
      </c>
      <c r="E174" s="1654"/>
      <c r="F174" s="1654"/>
      <c r="G174" s="1654"/>
      <c r="H174" s="1654"/>
      <c r="I174" s="1654"/>
      <c r="J174" s="1654"/>
      <c r="K174" s="1654"/>
      <c r="L174" s="1655"/>
      <c r="M174" s="3"/>
      <c r="N174" s="3"/>
      <c r="O174" s="3"/>
      <c r="P174" s="3"/>
      <c r="Q174" s="3"/>
      <c r="R174" s="3"/>
      <c r="S174" s="3"/>
      <c r="T174" s="3"/>
      <c r="U174" s="3"/>
      <c r="V174" s="3"/>
      <c r="W174" s="3"/>
      <c r="X174" s="3"/>
      <c r="Y174" s="3"/>
      <c r="Z174" s="3"/>
      <c r="AA174" s="3"/>
      <c r="AB174" s="3"/>
      <c r="AC174" s="3"/>
      <c r="AD174" s="3"/>
      <c r="AE174" s="3"/>
      <c r="AF174" s="3"/>
    </row>
    <row r="175" spans="1:32" ht="15" x14ac:dyDescent="0.25">
      <c r="A175" s="3"/>
      <c r="B175" s="1656" t="s">
        <v>1416</v>
      </c>
      <c r="C175" s="1204"/>
      <c r="D175" s="1650">
        <v>2006</v>
      </c>
      <c r="E175" s="1650">
        <v>2010</v>
      </c>
      <c r="F175" s="1650">
        <v>2011</v>
      </c>
      <c r="G175" s="1650">
        <v>2014</v>
      </c>
      <c r="H175" s="1650">
        <v>2016</v>
      </c>
      <c r="I175" s="1650">
        <v>2017</v>
      </c>
      <c r="J175" s="1650">
        <v>2020</v>
      </c>
      <c r="K175" s="1604">
        <v>2021</v>
      </c>
      <c r="L175" s="1604">
        <v>2023</v>
      </c>
      <c r="M175" s="1618"/>
      <c r="N175" s="1618"/>
      <c r="O175" s="1618"/>
      <c r="P175" s="1618"/>
      <c r="Q175" s="3"/>
      <c r="R175" s="3"/>
      <c r="S175" s="3"/>
      <c r="T175" s="3"/>
      <c r="U175" s="3"/>
      <c r="V175" s="3"/>
      <c r="W175" s="3"/>
      <c r="X175" s="3"/>
      <c r="Y175" s="3"/>
      <c r="Z175" s="3"/>
      <c r="AA175" s="3"/>
      <c r="AB175" s="3"/>
      <c r="AC175" s="3"/>
      <c r="AD175" s="3"/>
      <c r="AE175" s="3"/>
      <c r="AF175" s="3"/>
    </row>
    <row r="176" spans="1:32" ht="15" x14ac:dyDescent="0.25">
      <c r="A176" s="3"/>
      <c r="B176" s="960" t="s">
        <v>1609</v>
      </c>
      <c r="C176" s="1204"/>
      <c r="D176" s="1657">
        <v>16489</v>
      </c>
      <c r="E176" s="1657">
        <v>16497</v>
      </c>
      <c r="F176" s="1658">
        <f t="shared" ref="F176:G177" si="16">($H176-$E176)/($H$175-$E$175)*(F$175-$E$175)+$E176</f>
        <v>16480.833333333332</v>
      </c>
      <c r="G176" s="1658">
        <f t="shared" si="16"/>
        <v>16432.333333333332</v>
      </c>
      <c r="H176" s="1657">
        <v>16400</v>
      </c>
      <c r="I176" s="1658">
        <f t="shared" ref="I176:J177" si="17">($K176-$H176)/($K$175-$H$175)*(I$175-$H$175)+$H176</f>
        <v>16411.599999999999</v>
      </c>
      <c r="J176" s="1658">
        <f t="shared" si="17"/>
        <v>16446.400000000001</v>
      </c>
      <c r="K176" s="1657">
        <v>16458</v>
      </c>
      <c r="L176" s="1658">
        <f t="shared" ref="L176:L177" si="18">K176</f>
        <v>16458</v>
      </c>
      <c r="M176" s="1659"/>
      <c r="N176" s="1659"/>
      <c r="O176" s="1659"/>
      <c r="P176" s="1659"/>
      <c r="Q176" s="3"/>
      <c r="R176" s="3"/>
      <c r="S176" s="3"/>
      <c r="T176" s="3"/>
      <c r="U176" s="3"/>
      <c r="V176" s="3"/>
      <c r="W176" s="3"/>
      <c r="X176" s="3"/>
      <c r="Y176" s="3"/>
      <c r="Z176" s="3"/>
      <c r="AA176" s="3"/>
      <c r="AB176" s="3"/>
      <c r="AC176" s="3"/>
      <c r="AD176" s="3"/>
      <c r="AE176" s="3"/>
      <c r="AF176" s="3"/>
    </row>
    <row r="177" spans="1:32" ht="15.75" thickBot="1" x14ac:dyDescent="0.3">
      <c r="A177" s="3"/>
      <c r="B177" s="1642" t="s">
        <v>1418</v>
      </c>
      <c r="C177" s="1660"/>
      <c r="D177" s="1661">
        <v>158143</v>
      </c>
      <c r="E177" s="1661">
        <v>159387</v>
      </c>
      <c r="F177" s="1662">
        <f t="shared" si="16"/>
        <v>159414</v>
      </c>
      <c r="G177" s="1662">
        <f t="shared" si="16"/>
        <v>159495</v>
      </c>
      <c r="H177" s="1661">
        <v>159549</v>
      </c>
      <c r="I177" s="1662">
        <f t="shared" si="17"/>
        <v>159457.60000000001</v>
      </c>
      <c r="J177" s="1662">
        <f t="shared" si="17"/>
        <v>159183.4</v>
      </c>
      <c r="K177" s="1661">
        <v>159092</v>
      </c>
      <c r="L177" s="1662">
        <f t="shared" si="18"/>
        <v>159092</v>
      </c>
      <c r="M177" s="1659"/>
      <c r="N177" s="1659"/>
      <c r="O177" s="1659"/>
      <c r="P177" s="1659"/>
      <c r="Q177" s="1618"/>
      <c r="S177" s="3"/>
      <c r="T177" s="3"/>
      <c r="U177" s="3"/>
      <c r="V177" s="3"/>
      <c r="W177" s="3"/>
      <c r="X177" s="3"/>
      <c r="Y177" s="3"/>
      <c r="Z177" s="3"/>
      <c r="AA177" s="3"/>
      <c r="AB177" s="3"/>
      <c r="AC177" s="3"/>
      <c r="AD177" s="3"/>
      <c r="AE177" s="3"/>
      <c r="AF177" s="3"/>
    </row>
    <row r="178" spans="1:32" ht="15" x14ac:dyDescent="0.25">
      <c r="A178" s="3"/>
      <c r="B178" s="1623" t="s">
        <v>1610</v>
      </c>
      <c r="C178" s="1663"/>
      <c r="D178" s="1657">
        <v>13246</v>
      </c>
      <c r="E178" s="1658"/>
      <c r="F178" s="1657">
        <v>11642</v>
      </c>
      <c r="G178" s="1657">
        <v>10060</v>
      </c>
      <c r="H178" s="1658"/>
      <c r="I178" s="1657">
        <v>13115</v>
      </c>
      <c r="J178" s="1657">
        <v>12204</v>
      </c>
      <c r="K178" s="1658"/>
      <c r="L178" s="1657">
        <v>12094</v>
      </c>
      <c r="M178" s="1659"/>
      <c r="N178" s="1659"/>
      <c r="O178" s="1659"/>
      <c r="P178" s="1659"/>
      <c r="Q178" s="1659"/>
      <c r="S178" s="3"/>
      <c r="T178" s="3"/>
      <c r="U178" s="3"/>
      <c r="V178" s="3"/>
      <c r="W178" s="3"/>
      <c r="X178" s="3"/>
      <c r="Y178" s="3"/>
      <c r="Z178" s="3"/>
      <c r="AA178" s="3"/>
      <c r="AB178" s="3"/>
      <c r="AC178" s="3"/>
      <c r="AD178" s="3"/>
      <c r="AE178" s="3"/>
      <c r="AF178" s="3"/>
    </row>
    <row r="179" spans="1:32" ht="15" x14ac:dyDescent="0.25">
      <c r="A179" s="3"/>
      <c r="B179" s="960" t="s">
        <v>1420</v>
      </c>
      <c r="C179" s="1204"/>
      <c r="D179" s="1657">
        <v>7240</v>
      </c>
      <c r="E179" s="1658"/>
      <c r="F179" s="1657">
        <v>4372</v>
      </c>
      <c r="G179" s="1657">
        <v>3599</v>
      </c>
      <c r="H179" s="1658"/>
      <c r="I179" s="1657">
        <v>5465</v>
      </c>
      <c r="J179" s="1657">
        <v>5422</v>
      </c>
      <c r="K179" s="1658"/>
      <c r="L179" s="1657">
        <v>1298</v>
      </c>
      <c r="M179" s="1659"/>
      <c r="N179" s="1659"/>
      <c r="O179" s="1659"/>
      <c r="P179" s="1659"/>
      <c r="Q179" s="1659"/>
      <c r="S179" s="3"/>
      <c r="T179" s="3"/>
      <c r="U179" s="3"/>
      <c r="V179" s="3"/>
      <c r="W179" s="3"/>
      <c r="X179" s="3"/>
      <c r="Y179" s="3"/>
      <c r="Z179" s="3"/>
      <c r="AA179" s="3"/>
      <c r="AB179" s="3"/>
      <c r="AC179" s="3"/>
      <c r="AD179" s="3"/>
      <c r="AE179" s="3"/>
      <c r="AF179" s="3"/>
    </row>
    <row r="180" spans="1:32" ht="15" x14ac:dyDescent="0.25">
      <c r="A180" s="3"/>
      <c r="B180" s="960" t="s">
        <v>1422</v>
      </c>
      <c r="C180" s="1204"/>
      <c r="D180" s="1657">
        <v>12084</v>
      </c>
      <c r="E180" s="1658"/>
      <c r="F180" s="1657">
        <v>17630</v>
      </c>
      <c r="G180" s="1657">
        <v>25740</v>
      </c>
      <c r="H180" s="1658"/>
      <c r="I180" s="1657">
        <v>43776</v>
      </c>
      <c r="J180" s="1657">
        <v>17639</v>
      </c>
      <c r="K180" s="1658"/>
      <c r="L180" s="1657">
        <v>25007</v>
      </c>
      <c r="M180" s="1659"/>
      <c r="N180" s="1659"/>
      <c r="O180" s="1659"/>
      <c r="P180" s="1659"/>
      <c r="Q180" s="1659"/>
      <c r="S180" s="3"/>
      <c r="T180" s="3"/>
      <c r="U180" s="3"/>
      <c r="V180" s="3"/>
      <c r="W180" s="3"/>
      <c r="X180" s="3"/>
      <c r="Y180" s="3"/>
      <c r="Z180" s="3"/>
      <c r="AA180" s="3"/>
      <c r="AB180" s="3"/>
      <c r="AC180" s="3"/>
      <c r="AD180" s="3"/>
      <c r="AE180" s="3"/>
      <c r="AF180" s="3"/>
    </row>
    <row r="181" spans="1:32" ht="15.75" thickBot="1" x14ac:dyDescent="0.3">
      <c r="A181" s="3"/>
      <c r="B181" s="1642" t="s">
        <v>1611</v>
      </c>
      <c r="C181" s="1660"/>
      <c r="D181" s="1664">
        <v>7368</v>
      </c>
      <c r="E181" s="1665"/>
      <c r="F181" s="1664">
        <v>5673</v>
      </c>
      <c r="G181" s="1664">
        <v>6492</v>
      </c>
      <c r="H181" s="1665"/>
      <c r="I181" s="1664">
        <v>5642</v>
      </c>
      <c r="J181" s="1664">
        <v>5337</v>
      </c>
      <c r="K181" s="1665"/>
      <c r="L181" s="1664">
        <v>6735</v>
      </c>
      <c r="M181" s="1659"/>
      <c r="N181" s="1659"/>
      <c r="O181" s="1659"/>
      <c r="P181" s="1659"/>
      <c r="Q181" s="1659"/>
      <c r="S181" s="3"/>
      <c r="T181" s="3"/>
      <c r="U181" s="3"/>
      <c r="V181" s="3"/>
      <c r="W181" s="3"/>
      <c r="X181" s="3"/>
      <c r="Y181" s="3"/>
      <c r="Z181" s="3"/>
      <c r="AA181" s="3"/>
      <c r="AB181" s="3"/>
      <c r="AC181" s="3"/>
      <c r="AD181" s="3"/>
      <c r="AE181" s="3"/>
      <c r="AF181" s="3"/>
    </row>
    <row r="182" spans="1:32" ht="15" x14ac:dyDescent="0.25">
      <c r="A182" s="3"/>
      <c r="B182" s="1623" t="s">
        <v>1424</v>
      </c>
      <c r="C182" s="1663"/>
      <c r="D182" s="1666">
        <f>D176+D177</f>
        <v>174632</v>
      </c>
      <c r="E182" s="1667"/>
      <c r="F182" s="1666">
        <f t="shared" ref="F182:G182" si="19">F176+F177</f>
        <v>175894.83333333334</v>
      </c>
      <c r="G182" s="1666">
        <f t="shared" si="19"/>
        <v>175927.33333333334</v>
      </c>
      <c r="H182" s="1667"/>
      <c r="I182" s="1666">
        <f t="shared" ref="I182:J182" si="20">I176+I177</f>
        <v>175869.2</v>
      </c>
      <c r="J182" s="1666">
        <f t="shared" si="20"/>
        <v>175629.8</v>
      </c>
      <c r="K182" s="1667"/>
      <c r="L182" s="1666">
        <f>L176+L177</f>
        <v>175550</v>
      </c>
      <c r="M182" s="3"/>
      <c r="N182" s="3"/>
      <c r="O182" s="3"/>
      <c r="P182" s="3"/>
      <c r="Q182" s="3"/>
      <c r="R182" s="3"/>
      <c r="S182" s="3"/>
      <c r="T182" s="3"/>
      <c r="U182" s="3"/>
      <c r="V182" s="3"/>
      <c r="W182" s="3"/>
      <c r="X182" s="3"/>
      <c r="Y182" s="3"/>
      <c r="Z182" s="3"/>
      <c r="AA182" s="3"/>
      <c r="AB182" s="3"/>
      <c r="AC182" s="3"/>
      <c r="AD182" s="3"/>
      <c r="AE182" s="3"/>
      <c r="AF182" s="3"/>
    </row>
    <row r="183" spans="1:32" ht="15" x14ac:dyDescent="0.25">
      <c r="A183" s="3"/>
      <c r="B183" s="960" t="s">
        <v>1425</v>
      </c>
      <c r="C183" s="1204"/>
      <c r="D183" s="1657">
        <f>SUM(D178:D181)</f>
        <v>39938</v>
      </c>
      <c r="E183" s="1658"/>
      <c r="F183" s="1657">
        <f t="shared" ref="F183:G183" si="21">SUM(F178:F181)</f>
        <v>39317</v>
      </c>
      <c r="G183" s="1657">
        <f t="shared" si="21"/>
        <v>45891</v>
      </c>
      <c r="H183" s="1658"/>
      <c r="I183" s="1657">
        <f t="shared" ref="I183:J183" si="22">SUM(I178:I181)</f>
        <v>67998</v>
      </c>
      <c r="J183" s="1657">
        <f t="shared" si="22"/>
        <v>40602</v>
      </c>
      <c r="K183" s="1658"/>
      <c r="L183" s="1657">
        <f>SUM(L178:L181)</f>
        <v>45134</v>
      </c>
      <c r="M183" s="3"/>
      <c r="N183" s="3"/>
      <c r="O183" s="3"/>
      <c r="P183" s="3"/>
      <c r="Q183" s="3"/>
      <c r="R183" s="3"/>
      <c r="S183" s="3"/>
      <c r="T183" s="3"/>
      <c r="U183" s="3"/>
      <c r="V183" s="3"/>
      <c r="W183" s="3"/>
      <c r="X183" s="3"/>
      <c r="Y183" s="3"/>
      <c r="Z183" s="3"/>
      <c r="AA183" s="3"/>
      <c r="AB183" s="3"/>
      <c r="AC183" s="3"/>
      <c r="AD183" s="3"/>
      <c r="AE183" s="3"/>
      <c r="AF183" s="3"/>
    </row>
    <row r="184" spans="1:32" ht="15"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row>
    <row r="185" spans="1:32" ht="15" x14ac:dyDescent="0.25">
      <c r="A185" s="3"/>
      <c r="B185" s="3"/>
      <c r="C185" s="161"/>
      <c r="D185" s="1653" t="s">
        <v>1427</v>
      </c>
      <c r="E185" s="1654"/>
      <c r="F185" s="1654"/>
      <c r="G185" s="1654"/>
      <c r="H185" s="1654"/>
      <c r="I185" s="1654"/>
      <c r="J185" s="1654"/>
      <c r="K185" s="1654"/>
      <c r="L185" s="1655"/>
      <c r="M185" s="3"/>
      <c r="N185" s="3"/>
      <c r="O185" s="3"/>
      <c r="P185" s="3"/>
      <c r="Q185" s="3"/>
      <c r="R185" s="3"/>
      <c r="S185" s="3"/>
      <c r="T185" s="3"/>
      <c r="U185" s="3"/>
      <c r="V185" s="3"/>
      <c r="W185" s="3"/>
      <c r="X185" s="3"/>
      <c r="Y185" s="3"/>
      <c r="Z185" s="3"/>
      <c r="AA185" s="3"/>
      <c r="AB185" s="3"/>
      <c r="AC185" s="3"/>
      <c r="AD185" s="3"/>
      <c r="AE185" s="3"/>
      <c r="AF185" s="3"/>
    </row>
    <row r="186" spans="1:32" ht="15" x14ac:dyDescent="0.25">
      <c r="A186" s="3"/>
      <c r="B186" s="1656" t="s">
        <v>1416</v>
      </c>
      <c r="C186" s="962" t="s">
        <v>1429</v>
      </c>
      <c r="D186" s="1650">
        <v>2006</v>
      </c>
      <c r="E186" s="1650"/>
      <c r="F186" s="1650">
        <v>2011</v>
      </c>
      <c r="G186" s="1650">
        <v>2014</v>
      </c>
      <c r="H186" s="1650"/>
      <c r="I186" s="1650">
        <v>2017</v>
      </c>
      <c r="J186" s="1650">
        <v>2020</v>
      </c>
      <c r="K186" s="1604"/>
      <c r="L186" s="1604">
        <v>2023</v>
      </c>
      <c r="M186" s="3"/>
      <c r="N186" s="3"/>
      <c r="O186" s="3"/>
      <c r="P186" s="3"/>
      <c r="Q186" s="3"/>
      <c r="R186" s="3"/>
      <c r="S186" s="3"/>
      <c r="T186" s="3"/>
      <c r="U186" s="3"/>
      <c r="V186" s="3"/>
      <c r="W186" s="3"/>
      <c r="X186" s="3"/>
      <c r="Y186" s="3"/>
      <c r="Z186" s="3"/>
      <c r="AA186" s="3"/>
      <c r="AB186" s="3"/>
      <c r="AC186" s="3"/>
      <c r="AD186" s="3"/>
      <c r="AE186" s="3"/>
      <c r="AF186" s="3"/>
    </row>
    <row r="187" spans="1:32" ht="15" x14ac:dyDescent="0.25">
      <c r="A187" s="3"/>
      <c r="B187" s="960" t="s">
        <v>1609</v>
      </c>
      <c r="C187" s="1668">
        <f t="shared" ref="C187:C188" si="23">-2.067/2.47105*44/12</f>
        <v>-3.0671172173772288</v>
      </c>
      <c r="D187" s="1657">
        <f t="shared" ref="D187:D192" si="24">$C187*D176</f>
        <v>-50573.695797333123</v>
      </c>
      <c r="E187" s="1657"/>
      <c r="F187" s="1657">
        <f t="shared" ref="F187:G192" si="25">$C187*F176</f>
        <v>-50548.647673391206</v>
      </c>
      <c r="G187" s="1657">
        <f t="shared" si="25"/>
        <v>-50399.892488348414</v>
      </c>
      <c r="H187" s="1657"/>
      <c r="I187" s="1657">
        <f t="shared" ref="I187:J192" si="26">$C187*I176</f>
        <v>-50336.300924708121</v>
      </c>
      <c r="J187" s="1657">
        <f t="shared" si="26"/>
        <v>-50443.036603872861</v>
      </c>
      <c r="K187" s="1657"/>
      <c r="L187" s="1657">
        <f t="shared" ref="L187:L192" si="27">$C187*L176</f>
        <v>-50478.615163594433</v>
      </c>
      <c r="M187" s="3"/>
      <c r="N187" s="3"/>
      <c r="O187" s="3"/>
      <c r="P187" s="3"/>
      <c r="Q187" s="3"/>
      <c r="R187" s="3"/>
      <c r="S187" s="3"/>
      <c r="T187" s="3"/>
      <c r="U187" s="3"/>
      <c r="V187" s="3"/>
      <c r="W187" s="3"/>
      <c r="X187" s="3"/>
      <c r="Y187" s="3"/>
      <c r="Z187" s="3"/>
      <c r="AA187" s="3"/>
      <c r="AB187" s="3"/>
      <c r="AC187" s="3"/>
      <c r="AD187" s="3"/>
      <c r="AE187" s="3"/>
      <c r="AF187" s="3"/>
    </row>
    <row r="188" spans="1:32" ht="15.75" thickBot="1" x14ac:dyDescent="0.3">
      <c r="A188" s="3"/>
      <c r="B188" s="1642" t="s">
        <v>1418</v>
      </c>
      <c r="C188" s="1450">
        <f t="shared" si="23"/>
        <v>-3.0671172173772288</v>
      </c>
      <c r="D188" s="1661">
        <f t="shared" si="24"/>
        <v>-485043.1181076871</v>
      </c>
      <c r="E188" s="1661"/>
      <c r="F188" s="1661">
        <f t="shared" si="25"/>
        <v>-488941.42409097357</v>
      </c>
      <c r="G188" s="1661">
        <f t="shared" si="25"/>
        <v>-489189.8605855811</v>
      </c>
      <c r="H188" s="1661"/>
      <c r="I188" s="1661">
        <f t="shared" si="26"/>
        <v>-489075.15040165122</v>
      </c>
      <c r="J188" s="1661">
        <f t="shared" si="26"/>
        <v>-488234.14686064632</v>
      </c>
      <c r="K188" s="1661"/>
      <c r="L188" s="1661">
        <f t="shared" si="27"/>
        <v>-487953.81234697805</v>
      </c>
      <c r="M188" s="3"/>
      <c r="N188" s="3"/>
      <c r="O188" s="3"/>
      <c r="P188" s="3"/>
      <c r="Q188" s="3"/>
      <c r="R188" s="3"/>
      <c r="S188" s="3"/>
      <c r="T188" s="3"/>
      <c r="U188" s="3"/>
      <c r="V188" s="3"/>
      <c r="W188" s="3"/>
      <c r="X188" s="3"/>
      <c r="Y188" s="3"/>
      <c r="Z188" s="3"/>
      <c r="AA188" s="3"/>
      <c r="AB188" s="3"/>
      <c r="AC188" s="3"/>
      <c r="AD188" s="3"/>
      <c r="AE188" s="3"/>
      <c r="AF188" s="3"/>
    </row>
    <row r="189" spans="1:32" ht="15" x14ac:dyDescent="0.25">
      <c r="A189" s="3"/>
      <c r="B189" s="1623" t="s">
        <v>1610</v>
      </c>
      <c r="C189" s="1668">
        <f>-1.111/2.47105</f>
        <v>-0.44960644260537019</v>
      </c>
      <c r="D189" s="1657">
        <f t="shared" si="24"/>
        <v>-5955.4869387507333</v>
      </c>
      <c r="E189" s="1657"/>
      <c r="F189" s="1657">
        <f t="shared" si="25"/>
        <v>-5234.3182048117196</v>
      </c>
      <c r="G189" s="1657">
        <f t="shared" si="25"/>
        <v>-4523.0408126100237</v>
      </c>
      <c r="H189" s="1657"/>
      <c r="I189" s="1657">
        <f t="shared" si="26"/>
        <v>-5896.5884947694303</v>
      </c>
      <c r="J189" s="1657">
        <f t="shared" si="26"/>
        <v>-5486.9970255559374</v>
      </c>
      <c r="K189" s="1657"/>
      <c r="L189" s="1657">
        <f t="shared" si="27"/>
        <v>-5437.5403168693474</v>
      </c>
      <c r="M189" s="3"/>
      <c r="N189" s="3"/>
      <c r="O189" s="3"/>
      <c r="P189" s="3"/>
      <c r="Q189" s="3"/>
      <c r="R189" s="3"/>
      <c r="S189" s="3"/>
      <c r="T189" s="3"/>
      <c r="U189" s="3"/>
      <c r="V189" s="3"/>
      <c r="W189" s="3"/>
      <c r="X189" s="3"/>
      <c r="Y189" s="3"/>
      <c r="Z189" s="3"/>
      <c r="AA189" s="3"/>
      <c r="AB189" s="3"/>
      <c r="AC189" s="3"/>
      <c r="AD189" s="3"/>
      <c r="AE189" s="3"/>
      <c r="AF189" s="3"/>
    </row>
    <row r="190" spans="1:32" ht="15" x14ac:dyDescent="0.25">
      <c r="A190" s="3"/>
      <c r="B190" s="960" t="s">
        <v>1420</v>
      </c>
      <c r="C190" s="1668">
        <f>-1.1/2.47105</f>
        <v>-0.44515489366868338</v>
      </c>
      <c r="D190" s="1657">
        <f t="shared" si="24"/>
        <v>-3222.9214301612678</v>
      </c>
      <c r="E190" s="1657"/>
      <c r="F190" s="1657">
        <f t="shared" si="25"/>
        <v>-1946.2171951194837</v>
      </c>
      <c r="G190" s="1657">
        <f t="shared" si="25"/>
        <v>-1602.1124623135915</v>
      </c>
      <c r="H190" s="1657"/>
      <c r="I190" s="1657">
        <f t="shared" si="26"/>
        <v>-2432.7714938993545</v>
      </c>
      <c r="J190" s="1657">
        <f t="shared" si="26"/>
        <v>-2413.6298334716012</v>
      </c>
      <c r="K190" s="1657"/>
      <c r="L190" s="1657">
        <f t="shared" si="27"/>
        <v>-577.81105198195098</v>
      </c>
      <c r="M190" s="3"/>
      <c r="N190" s="3"/>
      <c r="O190" s="3"/>
      <c r="P190" s="3"/>
      <c r="Q190" s="3"/>
      <c r="R190" s="3"/>
      <c r="S190" s="3"/>
      <c r="T190" s="3"/>
      <c r="U190" s="3"/>
      <c r="V190" s="3"/>
      <c r="W190" s="3"/>
      <c r="X190" s="3"/>
      <c r="Y190" s="3"/>
      <c r="Z190" s="3"/>
      <c r="AA190" s="3"/>
      <c r="AB190" s="3"/>
      <c r="AC190" s="3"/>
      <c r="AD190" s="3"/>
      <c r="AE190" s="3"/>
      <c r="AF190" s="3"/>
    </row>
    <row r="191" spans="1:32" ht="15" x14ac:dyDescent="0.25">
      <c r="A191" s="3"/>
      <c r="B191" s="960" t="s">
        <v>1422</v>
      </c>
      <c r="C191" s="1668">
        <f>-0.38/2.47105</f>
        <v>-0.15378078144918153</v>
      </c>
      <c r="D191" s="1657">
        <f t="shared" si="24"/>
        <v>-1858.2869630319096</v>
      </c>
      <c r="E191" s="1657"/>
      <c r="F191" s="1657">
        <f t="shared" si="25"/>
        <v>-2711.1551769490702</v>
      </c>
      <c r="G191" s="1657">
        <f t="shared" si="25"/>
        <v>-3958.3173145019327</v>
      </c>
      <c r="H191" s="1657"/>
      <c r="I191" s="1657">
        <f t="shared" si="26"/>
        <v>-6731.907488719371</v>
      </c>
      <c r="J191" s="1657">
        <f t="shared" si="26"/>
        <v>-2712.5392039821131</v>
      </c>
      <c r="K191" s="1657"/>
      <c r="L191" s="1657">
        <f t="shared" si="27"/>
        <v>-3845.5960016996823</v>
      </c>
      <c r="M191" s="3"/>
      <c r="N191" s="3"/>
      <c r="O191" s="3"/>
      <c r="P191" s="3"/>
      <c r="Q191" s="3"/>
      <c r="R191" s="3"/>
      <c r="S191" s="3"/>
      <c r="T191" s="3"/>
      <c r="U191" s="3"/>
      <c r="V191" s="3"/>
      <c r="W191" s="3"/>
      <c r="X191" s="3"/>
      <c r="Y191" s="3"/>
      <c r="Z191" s="3"/>
      <c r="AA191" s="3"/>
      <c r="AB191" s="3"/>
      <c r="AC191" s="3"/>
      <c r="AD191" s="3"/>
      <c r="AE191" s="3"/>
      <c r="AF191" s="3"/>
    </row>
    <row r="192" spans="1:32" ht="15.75" thickBot="1" x14ac:dyDescent="0.3">
      <c r="A192" s="3"/>
      <c r="B192" s="1642" t="s">
        <v>1611</v>
      </c>
      <c r="C192" s="1669">
        <f>-1.01/2.47105</f>
        <v>-0.40873312964124564</v>
      </c>
      <c r="D192" s="1657">
        <f t="shared" si="24"/>
        <v>-3011.545699196698</v>
      </c>
      <c r="E192" s="1664"/>
      <c r="F192" s="1664">
        <f t="shared" si="25"/>
        <v>-2318.7430444547867</v>
      </c>
      <c r="G192" s="1664">
        <f t="shared" si="25"/>
        <v>-2653.4954776309669</v>
      </c>
      <c r="H192" s="1664"/>
      <c r="I192" s="1664">
        <f t="shared" si="26"/>
        <v>-2306.0723174359077</v>
      </c>
      <c r="J192" s="1664">
        <f t="shared" si="26"/>
        <v>-2181.4087128953279</v>
      </c>
      <c r="K192" s="1664"/>
      <c r="L192" s="1664">
        <f t="shared" si="27"/>
        <v>-2752.8176281337892</v>
      </c>
      <c r="M192" s="3"/>
      <c r="N192" s="3"/>
      <c r="O192" s="3"/>
      <c r="P192" s="3"/>
      <c r="Q192" s="3"/>
      <c r="R192" s="3"/>
      <c r="S192" s="3"/>
      <c r="T192" s="3"/>
      <c r="U192" s="3"/>
      <c r="V192" s="3"/>
      <c r="W192" s="3"/>
      <c r="X192" s="3"/>
      <c r="Y192" s="3"/>
      <c r="Z192" s="3"/>
      <c r="AA192" s="3"/>
      <c r="AB192" s="3"/>
      <c r="AC192" s="3"/>
      <c r="AD192" s="3"/>
      <c r="AE192" s="3"/>
      <c r="AF192" s="3"/>
    </row>
    <row r="193" spans="1:32" ht="15" x14ac:dyDescent="0.25">
      <c r="A193" s="3"/>
      <c r="B193" s="1615" t="s">
        <v>1424</v>
      </c>
      <c r="C193" s="1670"/>
      <c r="D193" s="1666">
        <f>SUM(D187:D188)</f>
        <v>-535616.81390502024</v>
      </c>
      <c r="E193" s="1666"/>
      <c r="F193" s="1666">
        <f t="shared" ref="F193:G193" si="28">SUM(F187:F188)</f>
        <v>-539490.07176436472</v>
      </c>
      <c r="G193" s="1666">
        <f t="shared" si="28"/>
        <v>-539589.75307392958</v>
      </c>
      <c r="H193" s="1666"/>
      <c r="I193" s="1666">
        <f t="shared" ref="I193:J193" si="29">SUM(I187:I188)</f>
        <v>-539411.4513263593</v>
      </c>
      <c r="J193" s="1666">
        <f t="shared" si="29"/>
        <v>-538677.18346451921</v>
      </c>
      <c r="K193" s="1666"/>
      <c r="L193" s="1666">
        <f>SUM(L187:L188)</f>
        <v>-538432.42751057248</v>
      </c>
      <c r="M193" s="3"/>
      <c r="N193" s="3"/>
      <c r="O193" s="3"/>
      <c r="P193" s="3"/>
      <c r="Q193" s="3"/>
      <c r="R193" s="3"/>
      <c r="S193" s="3"/>
      <c r="T193" s="3"/>
      <c r="U193" s="3"/>
      <c r="V193" s="3"/>
      <c r="W193" s="3"/>
      <c r="X193" s="3"/>
      <c r="Y193" s="3"/>
      <c r="Z193" s="3"/>
      <c r="AA193" s="3"/>
      <c r="AB193" s="3"/>
      <c r="AC193" s="3"/>
      <c r="AD193" s="3"/>
      <c r="AE193" s="3"/>
      <c r="AF193" s="3"/>
    </row>
    <row r="194" spans="1:32" ht="15" x14ac:dyDescent="0.25">
      <c r="A194" s="3"/>
      <c r="B194" s="1623" t="s">
        <v>1425</v>
      </c>
      <c r="C194" s="992"/>
      <c r="D194" s="1657">
        <f>SUM(D189:D192)</f>
        <v>-14048.241031140609</v>
      </c>
      <c r="E194" s="1657"/>
      <c r="F194" s="1657">
        <f t="shared" ref="F194:G194" si="30">SUM(F189:F192)</f>
        <v>-12210.43362133506</v>
      </c>
      <c r="G194" s="1657">
        <f t="shared" si="30"/>
        <v>-12736.966067056517</v>
      </c>
      <c r="H194" s="1657"/>
      <c r="I194" s="1657">
        <f t="shared" ref="I194:J194" si="31">SUM(I189:I192)</f>
        <v>-17367.339794824064</v>
      </c>
      <c r="J194" s="1657">
        <f t="shared" si="31"/>
        <v>-12794.574775904981</v>
      </c>
      <c r="K194" s="1657"/>
      <c r="L194" s="1657">
        <f>SUM(L189:L192)</f>
        <v>-12613.76499868477</v>
      </c>
      <c r="M194" s="3"/>
      <c r="N194" s="3"/>
      <c r="O194" s="3"/>
      <c r="P194" s="3"/>
      <c r="Q194" s="3"/>
      <c r="R194" s="3"/>
      <c r="S194" s="3"/>
      <c r="T194" s="3"/>
      <c r="U194" s="3"/>
      <c r="V194" s="3"/>
      <c r="W194" s="3"/>
      <c r="X194" s="3"/>
      <c r="Y194" s="3"/>
      <c r="Z194" s="3"/>
      <c r="AA194" s="3"/>
      <c r="AB194" s="3"/>
      <c r="AC194" s="3"/>
      <c r="AD194" s="3"/>
      <c r="AE194" s="3"/>
      <c r="AF194" s="3"/>
    </row>
    <row r="195" spans="1:32" ht="15" x14ac:dyDescent="0.25">
      <c r="A195" s="3"/>
      <c r="B195" s="161"/>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row>
    <row r="196" spans="1:32" ht="15" x14ac:dyDescent="0.25">
      <c r="A196" s="3"/>
      <c r="B196" s="3"/>
      <c r="C196" s="161"/>
      <c r="D196" s="1653" t="s">
        <v>1463</v>
      </c>
      <c r="E196" s="1654"/>
      <c r="F196" s="1654"/>
      <c r="G196" s="1654"/>
      <c r="H196" s="1654"/>
      <c r="I196" s="1654"/>
      <c r="J196" s="1654"/>
      <c r="K196" s="1654"/>
      <c r="L196" s="1655"/>
      <c r="M196" s="3"/>
      <c r="N196" s="3"/>
      <c r="O196" s="3"/>
      <c r="P196" s="3"/>
      <c r="Q196" s="3"/>
      <c r="R196" s="3"/>
      <c r="S196" s="3"/>
      <c r="T196" s="3"/>
      <c r="U196" s="3"/>
      <c r="V196" s="3"/>
      <c r="W196" s="3"/>
      <c r="X196" s="3"/>
      <c r="Y196" s="3"/>
      <c r="Z196" s="3"/>
      <c r="AA196" s="3"/>
      <c r="AB196" s="3"/>
      <c r="AC196" s="3"/>
      <c r="AD196" s="3"/>
      <c r="AE196" s="3"/>
      <c r="AF196" s="3"/>
    </row>
    <row r="197" spans="1:32" ht="15" x14ac:dyDescent="0.25">
      <c r="A197" s="3"/>
      <c r="B197" s="1656" t="s">
        <v>1416</v>
      </c>
      <c r="C197" s="962" t="s">
        <v>1465</v>
      </c>
      <c r="D197" s="1650">
        <v>2006</v>
      </c>
      <c r="E197" s="1650"/>
      <c r="F197" s="1650">
        <v>2011</v>
      </c>
      <c r="G197" s="1650">
        <v>2014</v>
      </c>
      <c r="H197" s="1650"/>
      <c r="I197" s="1650">
        <v>2017</v>
      </c>
      <c r="J197" s="1650">
        <v>2020</v>
      </c>
      <c r="K197" s="1604"/>
      <c r="L197" s="1604">
        <v>2023</v>
      </c>
      <c r="M197" s="3"/>
      <c r="N197" s="3"/>
      <c r="O197" s="3"/>
      <c r="P197" s="3"/>
      <c r="Q197" s="3"/>
      <c r="R197" s="3"/>
      <c r="S197" s="3"/>
      <c r="T197" s="3"/>
      <c r="U197" s="3"/>
      <c r="V197" s="3"/>
      <c r="W197" s="3"/>
      <c r="X197" s="3"/>
      <c r="Y197" s="3"/>
      <c r="Z197" s="3"/>
      <c r="AA197" s="3"/>
      <c r="AB197" s="3"/>
      <c r="AC197" s="3"/>
      <c r="AD197" s="3"/>
      <c r="AE197" s="3"/>
      <c r="AF197" s="3"/>
    </row>
    <row r="198" spans="1:32" ht="15" x14ac:dyDescent="0.25">
      <c r="A198" s="3"/>
      <c r="B198" s="1623" t="s">
        <v>1417</v>
      </c>
      <c r="C198" s="1671">
        <f>0.00747375141244849/2.47105</f>
        <v>3.0245245593769816E-3</v>
      </c>
      <c r="D198" s="1657">
        <f t="shared" ref="D198:D203" si="32">$C198*D176</f>
        <v>49.871385459567051</v>
      </c>
      <c r="E198" s="1657"/>
      <c r="F198" s="1657">
        <f t="shared" ref="F198:G203" si="33">$C198*F176</f>
        <v>49.846685175665471</v>
      </c>
      <c r="G198" s="1657">
        <f t="shared" si="33"/>
        <v>49.699995734535683</v>
      </c>
      <c r="H198" s="1657"/>
      <c r="I198" s="1657">
        <f t="shared" ref="I198:J203" si="34">$C198*I176</f>
        <v>49.637287258671265</v>
      </c>
      <c r="J198" s="1657">
        <f t="shared" si="34"/>
        <v>49.742540713337597</v>
      </c>
      <c r="K198" s="1657"/>
      <c r="L198" s="1657">
        <f t="shared" ref="L198:L203" si="35">$C198*L176</f>
        <v>49.77762519822636</v>
      </c>
      <c r="M198" s="3"/>
      <c r="N198" s="3"/>
      <c r="O198" s="3"/>
      <c r="P198" s="3"/>
      <c r="Q198" s="3"/>
      <c r="R198" s="3"/>
      <c r="S198" s="3"/>
      <c r="T198" s="3"/>
      <c r="U198" s="3"/>
      <c r="V198" s="3"/>
      <c r="W198" s="3"/>
      <c r="X198" s="3"/>
      <c r="Y198" s="3"/>
      <c r="Z198" s="3"/>
      <c r="AA198" s="3"/>
      <c r="AB198" s="3"/>
      <c r="AC198" s="3"/>
      <c r="AD198" s="3"/>
      <c r="AE198" s="3"/>
      <c r="AF198" s="3"/>
    </row>
    <row r="199" spans="1:32" ht="15" x14ac:dyDescent="0.25">
      <c r="A199" s="3"/>
      <c r="B199" s="1623" t="s">
        <v>1418</v>
      </c>
      <c r="C199" s="1671">
        <f>0.147994684096754/2.47105</f>
        <v>5.989141623874629E-2</v>
      </c>
      <c r="D199" s="1657">
        <f t="shared" si="32"/>
        <v>9471.4082382440538</v>
      </c>
      <c r="E199" s="1657"/>
      <c r="F199" s="1657">
        <f t="shared" si="33"/>
        <v>9547.5302282835019</v>
      </c>
      <c r="G199" s="1657">
        <f t="shared" si="33"/>
        <v>9552.38143299884</v>
      </c>
      <c r="H199" s="1657"/>
      <c r="I199" s="1657">
        <f t="shared" si="34"/>
        <v>9550.1414940315099</v>
      </c>
      <c r="J199" s="1657">
        <f t="shared" si="34"/>
        <v>9533.7192676988452</v>
      </c>
      <c r="K199" s="1657"/>
      <c r="L199" s="1657">
        <f t="shared" si="35"/>
        <v>9528.2451922546243</v>
      </c>
      <c r="M199" s="3"/>
      <c r="N199" s="3"/>
      <c r="O199" s="3"/>
      <c r="P199" s="3"/>
      <c r="Q199" s="3"/>
      <c r="R199" s="3"/>
      <c r="S199" s="3"/>
      <c r="T199" s="3"/>
      <c r="U199" s="3"/>
      <c r="V199" s="3"/>
      <c r="W199" s="3"/>
      <c r="X199" s="3"/>
      <c r="Y199" s="3"/>
      <c r="Z199" s="3"/>
      <c r="AA199" s="3"/>
      <c r="AB199" s="3"/>
      <c r="AC199" s="3"/>
      <c r="AD199" s="3"/>
      <c r="AE199" s="3"/>
      <c r="AF199" s="3"/>
    </row>
    <row r="200" spans="1:32" ht="15" x14ac:dyDescent="0.25">
      <c r="A200" s="3"/>
      <c r="B200" s="1623" t="s">
        <v>1419</v>
      </c>
      <c r="C200" s="1671">
        <f t="shared" ref="C200:C203" si="36">0.008/2.47105</f>
        <v>3.2374901357722428E-3</v>
      </c>
      <c r="D200" s="1657">
        <f t="shared" si="32"/>
        <v>42.883794338439131</v>
      </c>
      <c r="E200" s="1657"/>
      <c r="F200" s="1657">
        <f t="shared" si="33"/>
        <v>37.690860160660449</v>
      </c>
      <c r="G200" s="1657">
        <f t="shared" si="33"/>
        <v>32.569150765868763</v>
      </c>
      <c r="H200" s="1657"/>
      <c r="I200" s="1657">
        <f t="shared" si="34"/>
        <v>42.459683130652962</v>
      </c>
      <c r="J200" s="1657">
        <f t="shared" si="34"/>
        <v>39.510329616964448</v>
      </c>
      <c r="K200" s="1657"/>
      <c r="L200" s="1657">
        <f t="shared" si="35"/>
        <v>39.154205702029508</v>
      </c>
      <c r="M200" s="3"/>
      <c r="N200" s="3"/>
      <c r="O200" s="3"/>
      <c r="P200" s="3"/>
      <c r="Q200" s="3"/>
      <c r="R200" s="3"/>
      <c r="S200" s="3"/>
      <c r="T200" s="3"/>
      <c r="U200" s="3"/>
      <c r="V200" s="3"/>
      <c r="W200" s="3"/>
      <c r="X200" s="3"/>
      <c r="Y200" s="3"/>
      <c r="Z200" s="3"/>
      <c r="AA200" s="3"/>
      <c r="AB200" s="3"/>
      <c r="AC200" s="3"/>
      <c r="AD200" s="3"/>
      <c r="AE200" s="3"/>
      <c r="AF200" s="3"/>
    </row>
    <row r="201" spans="1:32" ht="15" x14ac:dyDescent="0.25">
      <c r="A201" s="3"/>
      <c r="B201" s="1623" t="s">
        <v>1420</v>
      </c>
      <c r="C201" s="1671">
        <f t="shared" si="36"/>
        <v>3.2374901357722428E-3</v>
      </c>
      <c r="D201" s="1657">
        <f t="shared" si="32"/>
        <v>23.439428582991038</v>
      </c>
      <c r="E201" s="1657"/>
      <c r="F201" s="1657">
        <f t="shared" si="33"/>
        <v>14.154306873596246</v>
      </c>
      <c r="G201" s="1657">
        <f t="shared" si="33"/>
        <v>11.651726998644302</v>
      </c>
      <c r="H201" s="1657"/>
      <c r="I201" s="1657">
        <f t="shared" si="34"/>
        <v>17.692883591995308</v>
      </c>
      <c r="J201" s="1657">
        <f t="shared" si="34"/>
        <v>17.553671516157099</v>
      </c>
      <c r="K201" s="1657"/>
      <c r="L201" s="1657">
        <f t="shared" si="35"/>
        <v>4.202262196232371</v>
      </c>
      <c r="M201" s="3"/>
      <c r="N201" s="3"/>
      <c r="O201" s="3"/>
      <c r="P201" s="3"/>
      <c r="Q201" s="3"/>
      <c r="R201" s="3"/>
      <c r="S201" s="3"/>
      <c r="T201" s="3"/>
      <c r="U201" s="3"/>
      <c r="V201" s="3"/>
      <c r="W201" s="3"/>
      <c r="X201" s="3"/>
      <c r="Y201" s="3"/>
      <c r="Z201" s="3"/>
      <c r="AA201" s="3"/>
      <c r="AB201" s="3"/>
      <c r="AC201" s="3"/>
      <c r="AD201" s="3"/>
      <c r="AE201" s="3"/>
      <c r="AF201" s="3"/>
    </row>
    <row r="202" spans="1:32" ht="15" x14ac:dyDescent="0.25">
      <c r="A202" s="3"/>
      <c r="B202" s="1623" t="s">
        <v>1422</v>
      </c>
      <c r="C202" s="1671">
        <f t="shared" si="36"/>
        <v>3.2374901357722428E-3</v>
      </c>
      <c r="D202" s="1657">
        <f t="shared" si="32"/>
        <v>39.121830800671781</v>
      </c>
      <c r="E202" s="1657"/>
      <c r="F202" s="1657">
        <f t="shared" si="33"/>
        <v>57.07695109366464</v>
      </c>
      <c r="G202" s="1657">
        <f t="shared" si="33"/>
        <v>83.332996094777528</v>
      </c>
      <c r="H202" s="1657"/>
      <c r="I202" s="1657">
        <f t="shared" si="34"/>
        <v>141.7243681835657</v>
      </c>
      <c r="J202" s="1657">
        <f t="shared" si="34"/>
        <v>57.106088504886593</v>
      </c>
      <c r="K202" s="1657"/>
      <c r="L202" s="1657">
        <f t="shared" si="35"/>
        <v>80.959915825256473</v>
      </c>
      <c r="M202" s="3"/>
      <c r="N202" s="3"/>
      <c r="O202" s="3"/>
      <c r="P202" s="3"/>
      <c r="Q202" s="3"/>
      <c r="R202" s="3"/>
      <c r="S202" s="3"/>
      <c r="T202" s="3"/>
      <c r="U202" s="3"/>
      <c r="V202" s="3"/>
      <c r="W202" s="3"/>
      <c r="X202" s="3"/>
      <c r="Y202" s="3"/>
      <c r="Z202" s="3"/>
      <c r="AA202" s="3"/>
      <c r="AB202" s="3"/>
      <c r="AC202" s="3"/>
      <c r="AD202" s="3"/>
      <c r="AE202" s="3"/>
      <c r="AF202" s="3"/>
    </row>
    <row r="203" spans="1:32" ht="15.75" thickBot="1" x14ac:dyDescent="0.3">
      <c r="A203" s="3"/>
      <c r="B203" s="1672" t="s">
        <v>1423</v>
      </c>
      <c r="C203" s="1671">
        <f t="shared" si="36"/>
        <v>3.2374901357722428E-3</v>
      </c>
      <c r="D203" s="1657">
        <f t="shared" si="32"/>
        <v>23.853827320369884</v>
      </c>
      <c r="E203" s="1657"/>
      <c r="F203" s="1657">
        <f t="shared" si="33"/>
        <v>18.366281540235935</v>
      </c>
      <c r="G203" s="1657">
        <f t="shared" si="33"/>
        <v>21.0177859614334</v>
      </c>
      <c r="H203" s="1657"/>
      <c r="I203" s="1657">
        <f t="shared" si="34"/>
        <v>18.265919346026994</v>
      </c>
      <c r="J203" s="1657">
        <f t="shared" si="34"/>
        <v>17.278484854616458</v>
      </c>
      <c r="K203" s="1657"/>
      <c r="L203" s="1657">
        <f t="shared" si="35"/>
        <v>21.804496064426054</v>
      </c>
      <c r="M203" s="3"/>
      <c r="N203" s="3"/>
      <c r="O203" s="3"/>
      <c r="P203" s="3"/>
      <c r="Q203" s="3"/>
      <c r="R203" s="3"/>
      <c r="S203" s="3"/>
      <c r="T203" s="3"/>
      <c r="U203" s="3"/>
      <c r="V203" s="3"/>
      <c r="W203" s="3"/>
      <c r="X203" s="3"/>
      <c r="Y203" s="3"/>
      <c r="Z203" s="3"/>
      <c r="AA203" s="3"/>
      <c r="AB203" s="3"/>
      <c r="AC203" s="3"/>
      <c r="AD203" s="3"/>
      <c r="AE203" s="3"/>
      <c r="AF203" s="3"/>
    </row>
    <row r="204" spans="1:32" ht="15" x14ac:dyDescent="0.25">
      <c r="A204" s="3"/>
      <c r="B204" s="1615" t="s">
        <v>1424</v>
      </c>
      <c r="C204" s="1670"/>
      <c r="D204" s="1666">
        <f>SUM(D198:D199)</f>
        <v>9521.27962370362</v>
      </c>
      <c r="E204" s="1666"/>
      <c r="F204" s="1666">
        <f t="shared" ref="F204:G204" si="37">SUM(F198:F199)</f>
        <v>9597.3769134591676</v>
      </c>
      <c r="G204" s="1666">
        <f t="shared" si="37"/>
        <v>9602.081428733376</v>
      </c>
      <c r="H204" s="1666"/>
      <c r="I204" s="1666">
        <f t="shared" ref="I204:J204" si="38">SUM(I198:I199)</f>
        <v>9599.7787812901806</v>
      </c>
      <c r="J204" s="1666">
        <f t="shared" si="38"/>
        <v>9583.461808412183</v>
      </c>
      <c r="K204" s="1666"/>
      <c r="L204" s="1666">
        <f>SUM(L198:L199)</f>
        <v>9578.0228174528511</v>
      </c>
      <c r="M204" s="3"/>
      <c r="N204" s="3"/>
      <c r="O204" s="3"/>
      <c r="P204" s="3"/>
      <c r="Q204" s="3"/>
      <c r="R204" s="3"/>
      <c r="S204" s="3"/>
      <c r="T204" s="3"/>
      <c r="U204" s="3"/>
      <c r="V204" s="3"/>
      <c r="W204" s="3"/>
      <c r="X204" s="3"/>
      <c r="Y204" s="3"/>
      <c r="Z204" s="3"/>
      <c r="AA204" s="3"/>
      <c r="AB204" s="3"/>
      <c r="AC204" s="3"/>
      <c r="AD204" s="3"/>
      <c r="AE204" s="3"/>
      <c r="AF204" s="3"/>
    </row>
    <row r="205" spans="1:32" ht="15" x14ac:dyDescent="0.25">
      <c r="A205" s="3"/>
      <c r="B205" s="1623" t="s">
        <v>1425</v>
      </c>
      <c r="C205" s="992"/>
      <c r="D205" s="1657">
        <f>SUM(D200:D203)</f>
        <v>129.29888104247183</v>
      </c>
      <c r="E205" s="1657"/>
      <c r="F205" s="1657">
        <f t="shared" ref="F205:G205" si="39">SUM(F200:F203)</f>
        <v>127.28839966815727</v>
      </c>
      <c r="G205" s="1657">
        <f t="shared" si="39"/>
        <v>148.57165982072399</v>
      </c>
      <c r="H205" s="1657"/>
      <c r="I205" s="1657">
        <f t="shared" ref="I205:J205" si="40">SUM(I200:I203)</f>
        <v>220.14285425224099</v>
      </c>
      <c r="J205" s="1657">
        <f t="shared" si="40"/>
        <v>131.4485744926246</v>
      </c>
      <c r="K205" s="1657"/>
      <c r="L205" s="1657">
        <f>SUM(L200:L203)</f>
        <v>146.1208797879444</v>
      </c>
      <c r="M205" s="3"/>
      <c r="N205" s="3"/>
      <c r="O205" s="3"/>
      <c r="P205" s="3"/>
      <c r="Q205" s="3"/>
      <c r="R205" s="3"/>
      <c r="S205" s="3"/>
      <c r="T205" s="3"/>
      <c r="U205" s="3"/>
      <c r="V205" s="3"/>
      <c r="W205" s="3"/>
      <c r="X205" s="3"/>
      <c r="Y205" s="3"/>
      <c r="Z205" s="3"/>
      <c r="AA205" s="3"/>
      <c r="AB205" s="3"/>
      <c r="AC205" s="3"/>
      <c r="AD205" s="3"/>
      <c r="AE205" s="3"/>
      <c r="AF205" s="3"/>
    </row>
    <row r="206" spans="1:32" ht="15"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row>
    <row r="207" spans="1:32" ht="15" x14ac:dyDescent="0.25">
      <c r="A207" s="3"/>
      <c r="B207" s="3"/>
      <c r="D207" s="1653" t="s">
        <v>1471</v>
      </c>
      <c r="E207" s="1673"/>
      <c r="F207" s="1673"/>
      <c r="G207" s="1673"/>
      <c r="H207" s="1673"/>
      <c r="I207" s="1673"/>
      <c r="J207" s="1674"/>
      <c r="K207" s="1674"/>
      <c r="L207" s="1674"/>
      <c r="M207" s="3"/>
      <c r="N207" s="3"/>
      <c r="O207" s="3"/>
      <c r="P207" s="3"/>
      <c r="Q207" s="3"/>
      <c r="R207" s="3"/>
      <c r="S207" s="3"/>
      <c r="T207" s="3"/>
      <c r="U207" s="3"/>
      <c r="V207" s="3"/>
      <c r="W207" s="3"/>
      <c r="X207" s="3"/>
      <c r="Y207" s="3"/>
      <c r="Z207" s="3"/>
      <c r="AA207" s="3"/>
      <c r="AB207" s="3"/>
      <c r="AC207" s="3"/>
      <c r="AD207" s="3"/>
      <c r="AE207" s="3"/>
      <c r="AF207" s="3"/>
    </row>
    <row r="208" spans="1:32" ht="15" x14ac:dyDescent="0.25">
      <c r="A208" s="3"/>
      <c r="B208" s="1675" t="s">
        <v>1612</v>
      </c>
      <c r="C208" s="1204"/>
      <c r="D208" s="1650">
        <v>2006</v>
      </c>
      <c r="E208" s="1650"/>
      <c r="F208" s="1650">
        <v>2011</v>
      </c>
      <c r="G208" s="1650">
        <v>2014</v>
      </c>
      <c r="H208" s="1650"/>
      <c r="I208" s="1650">
        <v>2017</v>
      </c>
      <c r="J208" s="1650">
        <v>2020</v>
      </c>
      <c r="K208" s="1604"/>
      <c r="L208" s="1604" t="s">
        <v>1613</v>
      </c>
      <c r="M208" s="3"/>
      <c r="N208" s="3"/>
      <c r="O208" s="3"/>
      <c r="P208" s="3"/>
      <c r="Q208" s="3"/>
      <c r="R208" s="3"/>
      <c r="S208" s="3"/>
      <c r="T208" s="3"/>
      <c r="U208" s="3"/>
      <c r="V208" s="3"/>
      <c r="W208" s="3"/>
      <c r="X208" s="3"/>
      <c r="Y208" s="3"/>
      <c r="Z208" s="3"/>
      <c r="AA208" s="3"/>
      <c r="AB208" s="3"/>
      <c r="AC208" s="3"/>
      <c r="AD208" s="3"/>
      <c r="AE208" s="3"/>
      <c r="AF208" s="3"/>
    </row>
    <row r="209" spans="1:32" ht="24.75" x14ac:dyDescent="0.25">
      <c r="A209" s="3"/>
      <c r="B209" s="1676" t="s">
        <v>1472</v>
      </c>
      <c r="C209" s="1204"/>
      <c r="D209" s="1479">
        <f>SUM(D210:D212)</f>
        <v>17961.122569790994</v>
      </c>
      <c r="E209" s="1479"/>
      <c r="F209" s="1479">
        <f t="shared" ref="F209:G209" si="41">SUM(F210:F212)</f>
        <v>12399.174933644143</v>
      </c>
      <c r="G209" s="1479">
        <f t="shared" si="41"/>
        <v>12399.174933644143</v>
      </c>
      <c r="H209" s="1479"/>
      <c r="I209" s="1479">
        <f t="shared" ref="I209:J209" si="42">SUM(I210:I212)</f>
        <v>12399.174933644143</v>
      </c>
      <c r="J209" s="1479">
        <f t="shared" si="42"/>
        <v>12399.174933644143</v>
      </c>
      <c r="K209" s="1479"/>
      <c r="L209" s="1479">
        <f>SUM(L210:L212)</f>
        <v>12399.090501288736</v>
      </c>
      <c r="M209" s="3"/>
      <c r="N209" s="3"/>
      <c r="O209" s="3"/>
      <c r="P209" s="3"/>
      <c r="Q209" s="3"/>
      <c r="R209" s="3"/>
      <c r="S209" s="3"/>
      <c r="T209" s="3"/>
      <c r="U209" s="3"/>
      <c r="V209" s="3"/>
      <c r="W209" s="3"/>
      <c r="X209" s="3"/>
      <c r="Y209" s="3"/>
      <c r="Z209" s="3"/>
      <c r="AA209" s="3"/>
      <c r="AB209" s="3"/>
      <c r="AC209" s="3"/>
      <c r="AD209" s="3"/>
      <c r="AE209" s="3"/>
      <c r="AF209" s="3"/>
    </row>
    <row r="210" spans="1:32" ht="15" x14ac:dyDescent="0.25">
      <c r="A210" s="3"/>
      <c r="B210" s="960" t="s">
        <v>1474</v>
      </c>
      <c r="C210" s="1204"/>
      <c r="D210" s="1484">
        <f>0.000443677622843492*1000000</f>
        <v>443.67762284349203</v>
      </c>
      <c r="E210" s="1484"/>
      <c r="F210" s="1484">
        <f t="shared" ref="F210:G210" si="43">0.000406051384004542*1000000</f>
        <v>406.051384004542</v>
      </c>
      <c r="G210" s="1484">
        <f t="shared" si="43"/>
        <v>406.051384004542</v>
      </c>
      <c r="H210" s="1484"/>
      <c r="I210" s="1484">
        <f t="shared" ref="I210:J210" si="44">0.000406051384004542*1000000</f>
        <v>406.051384004542</v>
      </c>
      <c r="J210" s="1484">
        <f t="shared" si="44"/>
        <v>406.051384004542</v>
      </c>
      <c r="K210" s="1484"/>
      <c r="L210" s="1484">
        <f>0.000405966951649135*1000000</f>
        <v>405.96695164913501</v>
      </c>
      <c r="M210" s="3"/>
      <c r="N210" s="3"/>
      <c r="O210" s="3"/>
      <c r="P210" s="3"/>
      <c r="Q210" s="3"/>
      <c r="R210" s="3"/>
      <c r="S210" s="3"/>
      <c r="T210" s="3"/>
      <c r="U210" s="3"/>
      <c r="V210" s="3"/>
      <c r="W210" s="3"/>
      <c r="X210" s="3"/>
      <c r="Y210" s="3"/>
      <c r="Z210" s="3"/>
      <c r="AA210" s="3"/>
      <c r="AB210" s="3"/>
      <c r="AC210" s="3"/>
      <c r="AD210" s="3"/>
      <c r="AE210" s="3"/>
      <c r="AF210" s="3"/>
    </row>
    <row r="211" spans="1:32" ht="15" x14ac:dyDescent="0.25">
      <c r="A211" s="3"/>
      <c r="B211" s="960" t="s">
        <v>1475</v>
      </c>
      <c r="C211" s="1204"/>
      <c r="D211" s="1484">
        <v>0</v>
      </c>
      <c r="E211" s="1484"/>
      <c r="F211" s="1484">
        <v>0</v>
      </c>
      <c r="G211" s="1484">
        <v>0</v>
      </c>
      <c r="H211" s="1484"/>
      <c r="I211" s="1484">
        <v>0</v>
      </c>
      <c r="J211" s="1484">
        <v>0</v>
      </c>
      <c r="K211" s="1484"/>
      <c r="L211" s="1484">
        <v>0</v>
      </c>
      <c r="M211" s="3"/>
      <c r="N211" s="3"/>
      <c r="O211" s="3"/>
      <c r="P211" s="3"/>
      <c r="Q211" s="3"/>
      <c r="R211" s="3"/>
      <c r="S211" s="3"/>
      <c r="T211" s="3"/>
      <c r="U211" s="3"/>
      <c r="V211" s="3"/>
      <c r="W211" s="3"/>
      <c r="X211" s="3"/>
      <c r="Y211" s="3"/>
      <c r="Z211" s="3"/>
      <c r="AA211" s="3"/>
      <c r="AB211" s="3"/>
      <c r="AC211" s="3"/>
      <c r="AD211" s="3"/>
      <c r="AE211" s="3"/>
      <c r="AF211" s="3"/>
    </row>
    <row r="212" spans="1:32" ht="15" x14ac:dyDescent="0.25">
      <c r="A212" s="3"/>
      <c r="B212" s="960" t="s">
        <v>1476</v>
      </c>
      <c r="C212" s="1204"/>
      <c r="D212" s="1484">
        <f>0.0175174449469475*1000000</f>
        <v>17517.4449469475</v>
      </c>
      <c r="E212" s="1484"/>
      <c r="F212" s="1484">
        <f t="shared" ref="F212:G212" si="45">0.0119931235496396*1000000</f>
        <v>11993.1235496396</v>
      </c>
      <c r="G212" s="1484">
        <f t="shared" si="45"/>
        <v>11993.1235496396</v>
      </c>
      <c r="H212" s="1484"/>
      <c r="I212" s="1484">
        <f t="shared" ref="I212:J212" si="46">0.0119931235496396*1000000</f>
        <v>11993.1235496396</v>
      </c>
      <c r="J212" s="1484">
        <f t="shared" si="46"/>
        <v>11993.1235496396</v>
      </c>
      <c r="K212" s="1484"/>
      <c r="L212" s="1484">
        <f>0.0119931235496396*1000000</f>
        <v>11993.1235496396</v>
      </c>
      <c r="M212" s="3"/>
      <c r="N212" s="3"/>
      <c r="O212" s="3"/>
      <c r="P212" s="3"/>
      <c r="Q212" s="3"/>
      <c r="R212" s="3"/>
      <c r="S212" s="3"/>
      <c r="T212" s="3"/>
      <c r="U212" s="3"/>
      <c r="V212" s="3"/>
      <c r="W212" s="3"/>
      <c r="X212" s="3"/>
      <c r="Y212" s="3"/>
      <c r="Z212" s="3"/>
      <c r="AA212" s="3"/>
      <c r="AB212" s="3"/>
      <c r="AC212" s="3"/>
      <c r="AD212" s="3"/>
      <c r="AE212" s="3"/>
      <c r="AF212" s="3"/>
    </row>
    <row r="213" spans="1:32" ht="24.75" x14ac:dyDescent="0.25">
      <c r="A213" s="3"/>
      <c r="B213" s="1676" t="s">
        <v>1477</v>
      </c>
      <c r="C213" s="1204"/>
      <c r="D213" s="1479">
        <f>SUM(D214:D216)</f>
        <v>-4326.0270322144079</v>
      </c>
      <c r="E213" s="1485"/>
      <c r="F213" s="1479">
        <f t="shared" ref="F213:G213" si="47">SUM(F214:F216)</f>
        <v>-397.84337763308849</v>
      </c>
      <c r="G213" s="1479">
        <f t="shared" si="47"/>
        <v>-397.84337763308849</v>
      </c>
      <c r="H213" s="1485"/>
      <c r="I213" s="1479">
        <f t="shared" ref="I213:J213" si="48">SUM(I214:I216)</f>
        <v>-397.84337763308849</v>
      </c>
      <c r="J213" s="1479">
        <f t="shared" si="48"/>
        <v>-397.84337763308849</v>
      </c>
      <c r="K213" s="1485"/>
      <c r="L213" s="1479">
        <f>SUM(L214:L216)</f>
        <v>-397.84337763308849</v>
      </c>
      <c r="M213" s="3"/>
      <c r="N213" s="3"/>
      <c r="O213" s="3"/>
      <c r="P213" s="3"/>
      <c r="Q213" s="3"/>
      <c r="R213" s="3"/>
      <c r="S213" s="3"/>
      <c r="T213" s="3"/>
      <c r="U213" s="3"/>
      <c r="V213" s="3"/>
      <c r="W213" s="3"/>
      <c r="X213" s="3"/>
      <c r="Y213" s="3"/>
      <c r="Z213" s="3"/>
      <c r="AA213" s="3"/>
      <c r="AB213" s="3"/>
      <c r="AC213" s="3"/>
      <c r="AD213" s="3"/>
      <c r="AE213" s="3"/>
      <c r="AF213" s="3"/>
    </row>
    <row r="214" spans="1:32" ht="15" x14ac:dyDescent="0.25">
      <c r="A214" s="3"/>
      <c r="B214" s="960" t="s">
        <v>1474</v>
      </c>
      <c r="C214" s="1204"/>
      <c r="D214" s="1657">
        <f>-0.0038832913490701*1000000</f>
        <v>-3883.2913490701003</v>
      </c>
      <c r="E214" s="1486"/>
      <c r="F214" s="1657">
        <f t="shared" ref="F214:G214" si="49">-0.000324267072789191*1000000</f>
        <v>-324.26707278919099</v>
      </c>
      <c r="G214" s="1657">
        <f t="shared" si="49"/>
        <v>-324.26707278919099</v>
      </c>
      <c r="H214" s="1486"/>
      <c r="I214" s="1657">
        <f t="shared" ref="I214:J214" si="50">-0.000324267072789191*1000000</f>
        <v>-324.26707278919099</v>
      </c>
      <c r="J214" s="1657">
        <f t="shared" si="50"/>
        <v>-324.26707278919099</v>
      </c>
      <c r="K214" s="1486"/>
      <c r="L214" s="1657">
        <f>-0.000324267072789191*1000000</f>
        <v>-324.26707278919099</v>
      </c>
      <c r="M214" s="3"/>
      <c r="N214" s="3"/>
      <c r="O214" s="3"/>
      <c r="P214" s="3"/>
      <c r="Q214" s="3"/>
      <c r="R214" s="3"/>
      <c r="S214" s="3"/>
      <c r="T214" s="3"/>
      <c r="U214" s="3"/>
      <c r="V214" s="3"/>
      <c r="W214" s="3"/>
      <c r="X214" s="3"/>
      <c r="Y214" s="3"/>
      <c r="Z214" s="3"/>
      <c r="AA214" s="3"/>
      <c r="AB214" s="3"/>
      <c r="AC214" s="3"/>
      <c r="AD214" s="3"/>
      <c r="AE214" s="3"/>
      <c r="AF214" s="3"/>
    </row>
    <row r="215" spans="1:32" ht="15" x14ac:dyDescent="0.25">
      <c r="A215" s="3"/>
      <c r="B215" s="960" t="s">
        <v>1475</v>
      </c>
      <c r="C215" s="1204"/>
      <c r="D215" s="1486">
        <v>0</v>
      </c>
      <c r="E215" s="1486"/>
      <c r="F215" s="1486">
        <v>0</v>
      </c>
      <c r="G215" s="1486">
        <v>0</v>
      </c>
      <c r="H215" s="1486"/>
      <c r="I215" s="1486">
        <v>0</v>
      </c>
      <c r="J215" s="1486">
        <v>0</v>
      </c>
      <c r="K215" s="1486"/>
      <c r="L215" s="1486">
        <v>0</v>
      </c>
      <c r="M215" s="3"/>
      <c r="N215" s="3"/>
      <c r="O215" s="3"/>
      <c r="P215" s="3"/>
      <c r="Q215" s="3"/>
      <c r="R215" s="3"/>
      <c r="S215" s="3"/>
      <c r="T215" s="3"/>
      <c r="U215" s="3"/>
      <c r="V215" s="3"/>
      <c r="W215" s="3"/>
      <c r="X215" s="3"/>
      <c r="Y215" s="3"/>
      <c r="Z215" s="3"/>
      <c r="AA215" s="3"/>
      <c r="AB215" s="3"/>
      <c r="AC215" s="3"/>
      <c r="AD215" s="3"/>
      <c r="AE215" s="3"/>
      <c r="AF215" s="3"/>
    </row>
    <row r="216" spans="1:32" ht="15.75" thickBot="1" x14ac:dyDescent="0.3">
      <c r="A216" s="3"/>
      <c r="B216" s="1677" t="s">
        <v>1476</v>
      </c>
      <c r="C216" s="1678"/>
      <c r="D216" s="1657">
        <f>-0.000442735683144308*1000000</f>
        <v>-442.73568314430798</v>
      </c>
      <c r="E216" s="1679"/>
      <c r="F216" s="1657">
        <f t="shared" ref="F216:G216" si="51">-0.0000735763048438975*1000000</f>
        <v>-73.576304843897489</v>
      </c>
      <c r="G216" s="1657">
        <f t="shared" si="51"/>
        <v>-73.576304843897489</v>
      </c>
      <c r="H216" s="1679"/>
      <c r="I216" s="1657">
        <f t="shared" ref="I216:J216" si="52">-0.0000735763048438975*1000000</f>
        <v>-73.576304843897489</v>
      </c>
      <c r="J216" s="1657">
        <f t="shared" si="52"/>
        <v>-73.576304843897489</v>
      </c>
      <c r="K216" s="1679"/>
      <c r="L216" s="1657">
        <f>-0.0000735763048438975*1000000</f>
        <v>-73.576304843897489</v>
      </c>
      <c r="M216" s="3"/>
      <c r="N216" s="3"/>
      <c r="O216" s="3"/>
      <c r="P216" s="3"/>
      <c r="Q216" s="3"/>
      <c r="R216" s="3"/>
      <c r="S216" s="3"/>
      <c r="T216" s="3"/>
      <c r="U216" s="3"/>
      <c r="V216" s="3"/>
      <c r="W216" s="3"/>
      <c r="X216" s="3"/>
      <c r="Y216" s="3"/>
      <c r="Z216" s="3"/>
      <c r="AA216" s="3"/>
      <c r="AB216" s="3"/>
      <c r="AC216" s="3"/>
      <c r="AD216" s="3"/>
      <c r="AE216" s="3"/>
      <c r="AF216" s="3"/>
    </row>
    <row r="217" spans="1:32" ht="15" x14ac:dyDescent="0.25">
      <c r="A217" s="3"/>
      <c r="B217" s="1615" t="s">
        <v>1479</v>
      </c>
      <c r="C217" s="1680"/>
      <c r="D217" s="1454">
        <f>D213+D209</f>
        <v>13635.095537576586</v>
      </c>
      <c r="E217" s="1454"/>
      <c r="F217" s="1454">
        <f t="shared" ref="F217:G217" si="53">F213+F209</f>
        <v>12001.331556011053</v>
      </c>
      <c r="G217" s="1454">
        <f t="shared" si="53"/>
        <v>12001.331556011053</v>
      </c>
      <c r="H217" s="1454"/>
      <c r="I217" s="1454">
        <f t="shared" ref="I217:J217" si="54">I213+I209</f>
        <v>12001.331556011053</v>
      </c>
      <c r="J217" s="1454">
        <f t="shared" si="54"/>
        <v>12001.331556011053</v>
      </c>
      <c r="K217" s="1454"/>
      <c r="L217" s="1454">
        <f>L213+L209</f>
        <v>12001.247123655648</v>
      </c>
      <c r="M217" s="3"/>
      <c r="N217" s="3"/>
      <c r="O217" s="3"/>
      <c r="P217" s="3"/>
      <c r="Q217" s="3"/>
      <c r="R217" s="3"/>
      <c r="S217" s="3"/>
      <c r="T217" s="3"/>
      <c r="U217" s="3"/>
      <c r="V217" s="3"/>
      <c r="W217" s="3"/>
      <c r="X217" s="3"/>
      <c r="Y217" s="3"/>
      <c r="Z217" s="3"/>
      <c r="AA217" s="3"/>
      <c r="AB217" s="3"/>
      <c r="AC217" s="3"/>
      <c r="AD217" s="3"/>
      <c r="AE217" s="3"/>
      <c r="AF217" s="3"/>
    </row>
    <row r="218" spans="1:32" ht="15" x14ac:dyDescent="0.25">
      <c r="A218" s="3"/>
      <c r="B218" s="161" t="s">
        <v>1614</v>
      </c>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row>
    <row r="219" spans="1:32" ht="15"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row>
    <row r="220" spans="1:32" ht="15" x14ac:dyDescent="0.25">
      <c r="A220" s="3"/>
      <c r="B220" s="1323" t="s">
        <v>1481</v>
      </c>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row>
    <row r="221" spans="1:32" ht="15.75" thickBot="1" x14ac:dyDescent="0.3">
      <c r="A221" s="3"/>
      <c r="B221" s="3"/>
      <c r="C221" s="1681"/>
      <c r="D221" s="1681"/>
      <c r="E221" s="1681"/>
      <c r="F221" s="1681"/>
      <c r="G221" s="1681"/>
      <c r="H221" s="1681"/>
      <c r="I221" s="1681"/>
      <c r="J221" s="1681"/>
      <c r="K221" s="1681"/>
      <c r="L221" s="1681"/>
      <c r="M221" s="1681"/>
      <c r="N221" s="1681"/>
      <c r="O221" s="1681"/>
      <c r="P221" s="1681"/>
      <c r="Q221" s="1681"/>
      <c r="R221" s="1681"/>
      <c r="S221" s="1681"/>
      <c r="T221" s="3"/>
      <c r="U221" s="3"/>
      <c r="V221" s="3"/>
      <c r="W221" s="3"/>
      <c r="X221" s="3"/>
      <c r="Y221" s="3"/>
      <c r="Z221" s="3"/>
      <c r="AA221" s="3"/>
      <c r="AB221" s="3"/>
      <c r="AC221" s="3"/>
      <c r="AD221" s="3"/>
      <c r="AE221" s="3"/>
      <c r="AF221" s="3"/>
    </row>
    <row r="222" spans="1:32" ht="15" x14ac:dyDescent="0.25">
      <c r="A222" s="3"/>
      <c r="B222" s="3"/>
      <c r="C222" s="1869" t="s">
        <v>1482</v>
      </c>
      <c r="D222" s="1870"/>
      <c r="E222" s="1870"/>
      <c r="F222" s="1764"/>
      <c r="G222" s="1871" t="s">
        <v>1483</v>
      </c>
      <c r="H222" s="1870"/>
      <c r="I222" s="1870"/>
      <c r="J222" s="1870"/>
      <c r="K222" s="1870"/>
      <c r="L222" s="1764"/>
      <c r="M222" s="1875" t="s">
        <v>1484</v>
      </c>
      <c r="N222" s="1870"/>
      <c r="O222" s="1870"/>
      <c r="P222" s="1870"/>
      <c r="Q222" s="1870"/>
      <c r="R222" s="1764"/>
      <c r="S222" s="1681"/>
      <c r="T222" s="3"/>
      <c r="U222" s="3"/>
      <c r="V222" s="3"/>
      <c r="W222" s="3"/>
      <c r="X222" s="3"/>
      <c r="Y222" s="3"/>
      <c r="Z222" s="3"/>
      <c r="AA222" s="3"/>
      <c r="AB222" s="3"/>
      <c r="AC222" s="3"/>
      <c r="AD222" s="3"/>
      <c r="AE222" s="3"/>
      <c r="AF222" s="3"/>
    </row>
    <row r="223" spans="1:32" ht="15" x14ac:dyDescent="0.25">
      <c r="A223" s="3"/>
      <c r="B223" s="1602" t="s">
        <v>1485</v>
      </c>
      <c r="C223" s="1682" t="s">
        <v>1486</v>
      </c>
      <c r="D223" s="1683" t="s">
        <v>1487</v>
      </c>
      <c r="E223" s="1683" t="s">
        <v>1488</v>
      </c>
      <c r="F223" s="1684" t="s">
        <v>1489</v>
      </c>
      <c r="G223" s="1682">
        <v>2006</v>
      </c>
      <c r="H223" s="1683">
        <v>2011</v>
      </c>
      <c r="I223" s="1683">
        <v>2014</v>
      </c>
      <c r="J223" s="1683">
        <v>2017</v>
      </c>
      <c r="K223" s="1683">
        <v>2020</v>
      </c>
      <c r="L223" s="1685">
        <v>2023</v>
      </c>
      <c r="M223" s="1682">
        <v>2006</v>
      </c>
      <c r="N223" s="1683">
        <v>2011</v>
      </c>
      <c r="O223" s="1683">
        <v>2014</v>
      </c>
      <c r="P223" s="1683">
        <v>2017</v>
      </c>
      <c r="Q223" s="1683">
        <v>2020</v>
      </c>
      <c r="R223" s="1685">
        <v>2023</v>
      </c>
      <c r="S223" s="1681"/>
      <c r="T223" s="3"/>
      <c r="U223" s="3"/>
      <c r="V223" s="3"/>
      <c r="W223" s="3"/>
      <c r="X223" s="3"/>
      <c r="Y223" s="3"/>
      <c r="Z223" s="3"/>
      <c r="AA223" s="3"/>
      <c r="AB223" s="3"/>
      <c r="AC223" s="3"/>
      <c r="AD223" s="3"/>
      <c r="AE223" s="3"/>
      <c r="AF223" s="3"/>
    </row>
    <row r="224" spans="1:32" ht="15" x14ac:dyDescent="0.25">
      <c r="A224" s="3"/>
      <c r="B224" s="1686" t="s">
        <v>1490</v>
      </c>
      <c r="C224" s="1687" t="s">
        <v>1491</v>
      </c>
      <c r="D224" s="1688">
        <v>54</v>
      </c>
      <c r="E224" s="1689"/>
      <c r="F224" s="1690"/>
      <c r="G224" s="1691">
        <v>2135.3404</v>
      </c>
      <c r="H224" s="1657">
        <v>2144.8393219999998</v>
      </c>
      <c r="I224" s="1657">
        <v>2144.8393219999998</v>
      </c>
      <c r="J224" s="1657">
        <v>2144.8389999999999</v>
      </c>
      <c r="K224" s="1657">
        <v>2144.8389999999999</v>
      </c>
      <c r="L224" s="1692">
        <v>2144.8393219999998</v>
      </c>
      <c r="M224" s="1691">
        <f t="shared" ref="M224:R227" si="55">G224*$D224/1000</f>
        <v>115.3083816</v>
      </c>
      <c r="N224" s="1657">
        <f t="shared" si="55"/>
        <v>115.821323388</v>
      </c>
      <c r="O224" s="1657">
        <f t="shared" si="55"/>
        <v>115.821323388</v>
      </c>
      <c r="P224" s="1657">
        <f t="shared" si="55"/>
        <v>115.82130599999999</v>
      </c>
      <c r="Q224" s="1657">
        <f t="shared" si="55"/>
        <v>115.82130599999999</v>
      </c>
      <c r="R224" s="1693">
        <f t="shared" si="55"/>
        <v>115.821323388</v>
      </c>
      <c r="S224" s="1442"/>
      <c r="T224" s="3"/>
      <c r="U224" s="3"/>
      <c r="V224" s="3"/>
      <c r="W224" s="3"/>
      <c r="X224" s="3"/>
      <c r="Y224" s="3"/>
      <c r="Z224" s="3"/>
      <c r="AA224" s="3"/>
      <c r="AB224" s="3"/>
      <c r="AC224" s="3"/>
      <c r="AD224" s="3"/>
      <c r="AE224" s="3"/>
      <c r="AF224" s="3"/>
    </row>
    <row r="225" spans="1:32" ht="15" x14ac:dyDescent="0.25">
      <c r="A225" s="3"/>
      <c r="B225" s="1694" t="s">
        <v>1490</v>
      </c>
      <c r="C225" s="1695" t="s">
        <v>1493</v>
      </c>
      <c r="D225" s="1696">
        <v>80.3</v>
      </c>
      <c r="E225" s="1697"/>
      <c r="F225" s="1690"/>
      <c r="G225" s="1691">
        <v>5990.6760039999999</v>
      </c>
      <c r="H225" s="1657">
        <v>5990.6760039999999</v>
      </c>
      <c r="I225" s="1657">
        <v>5990.6760039999999</v>
      </c>
      <c r="J225" s="1657">
        <v>5990.6760000000004</v>
      </c>
      <c r="K225" s="1657">
        <v>5990.6760000000004</v>
      </c>
      <c r="L225" s="1692">
        <v>5990.6760039999999</v>
      </c>
      <c r="M225" s="1691">
        <f t="shared" si="55"/>
        <v>481.05128312120002</v>
      </c>
      <c r="N225" s="1657">
        <f t="shared" si="55"/>
        <v>481.05128312120002</v>
      </c>
      <c r="O225" s="1657">
        <f t="shared" si="55"/>
        <v>481.05128312120002</v>
      </c>
      <c r="P225" s="1657">
        <f t="shared" si="55"/>
        <v>481.05128279999997</v>
      </c>
      <c r="Q225" s="1657">
        <f t="shared" si="55"/>
        <v>481.05128279999997</v>
      </c>
      <c r="R225" s="1693">
        <f t="shared" si="55"/>
        <v>481.05128312120002</v>
      </c>
      <c r="S225" s="1442"/>
      <c r="T225" s="3"/>
      <c r="U225" s="3"/>
      <c r="V225" s="3"/>
      <c r="W225" s="3"/>
      <c r="X225" s="3"/>
      <c r="Y225" s="3"/>
      <c r="Z225" s="3"/>
      <c r="AA225" s="3"/>
      <c r="AB225" s="3"/>
      <c r="AC225" s="3"/>
      <c r="AD225" s="3"/>
      <c r="AE225" s="3"/>
      <c r="AF225" s="3"/>
    </row>
    <row r="226" spans="1:32" ht="15" x14ac:dyDescent="0.25">
      <c r="A226" s="3"/>
      <c r="B226" s="1698" t="s">
        <v>1494</v>
      </c>
      <c r="C226" s="1699" t="s">
        <v>1491</v>
      </c>
      <c r="D226" s="1700">
        <v>84.7</v>
      </c>
      <c r="E226" s="1700">
        <v>1.02</v>
      </c>
      <c r="F226" s="1690">
        <f t="shared" ref="F226:F227" si="56">E226*44/12</f>
        <v>3.74</v>
      </c>
      <c r="G226" s="1691">
        <v>9.4989216869999993</v>
      </c>
      <c r="H226" s="1657">
        <v>0</v>
      </c>
      <c r="I226" s="1657">
        <v>0</v>
      </c>
      <c r="J226" s="1657">
        <v>0</v>
      </c>
      <c r="K226" s="1657">
        <v>0</v>
      </c>
      <c r="L226" s="1692">
        <v>0</v>
      </c>
      <c r="M226" s="1691">
        <f t="shared" si="55"/>
        <v>0.80455866688889999</v>
      </c>
      <c r="N226" s="1657">
        <f t="shared" si="55"/>
        <v>0</v>
      </c>
      <c r="O226" s="1657">
        <f t="shared" si="55"/>
        <v>0</v>
      </c>
      <c r="P226" s="1657">
        <f t="shared" si="55"/>
        <v>0</v>
      </c>
      <c r="Q226" s="1657">
        <f t="shared" si="55"/>
        <v>0</v>
      </c>
      <c r="R226" s="1693">
        <f t="shared" si="55"/>
        <v>0</v>
      </c>
      <c r="S226" s="1442"/>
      <c r="T226" s="3"/>
      <c r="U226" s="3"/>
      <c r="V226" s="3"/>
      <c r="W226" s="3"/>
      <c r="X226" s="3"/>
      <c r="Y226" s="3"/>
      <c r="Z226" s="3"/>
      <c r="AA226" s="3"/>
      <c r="AB226" s="3"/>
      <c r="AC226" s="3"/>
      <c r="AD226" s="3"/>
      <c r="AE226" s="3"/>
      <c r="AF226" s="3"/>
    </row>
    <row r="227" spans="1:32" ht="15" x14ac:dyDescent="0.25">
      <c r="A227" s="3"/>
      <c r="B227" s="1698" t="s">
        <v>1494</v>
      </c>
      <c r="C227" s="1695" t="s">
        <v>1493</v>
      </c>
      <c r="D227" s="1700">
        <v>127.5</v>
      </c>
      <c r="E227" s="1700">
        <v>1.46</v>
      </c>
      <c r="F227" s="1690">
        <f t="shared" si="56"/>
        <v>5.3533333333333326</v>
      </c>
      <c r="G227" s="1691">
        <v>0</v>
      </c>
      <c r="H227" s="1657">
        <v>0</v>
      </c>
      <c r="I227" s="1657">
        <v>0</v>
      </c>
      <c r="J227" s="1657">
        <v>0</v>
      </c>
      <c r="K227" s="1657">
        <v>0</v>
      </c>
      <c r="L227" s="1692">
        <v>0</v>
      </c>
      <c r="M227" s="1691">
        <f t="shared" si="55"/>
        <v>0</v>
      </c>
      <c r="N227" s="1657">
        <f t="shared" si="55"/>
        <v>0</v>
      </c>
      <c r="O227" s="1657">
        <f t="shared" si="55"/>
        <v>0</v>
      </c>
      <c r="P227" s="1657">
        <f t="shared" si="55"/>
        <v>0</v>
      </c>
      <c r="Q227" s="1657">
        <f t="shared" si="55"/>
        <v>0</v>
      </c>
      <c r="R227" s="1693">
        <f t="shared" si="55"/>
        <v>0</v>
      </c>
      <c r="S227" s="1442"/>
      <c r="T227" s="3"/>
      <c r="U227" s="3"/>
      <c r="V227" s="3"/>
      <c r="W227" s="3"/>
      <c r="X227" s="3"/>
      <c r="Y227" s="3"/>
      <c r="Z227" s="3"/>
      <c r="AA227" s="3"/>
      <c r="AB227" s="3"/>
      <c r="AC227" s="3"/>
      <c r="AD227" s="3"/>
      <c r="AE227" s="3"/>
      <c r="AF227" s="3"/>
    </row>
    <row r="228" spans="1:32" ht="15" x14ac:dyDescent="0.25">
      <c r="A228" s="3"/>
      <c r="B228" s="1694" t="s">
        <v>1496</v>
      </c>
      <c r="C228" s="1695" t="s">
        <v>692</v>
      </c>
      <c r="D228" s="1701">
        <v>0.09</v>
      </c>
      <c r="E228" s="1697"/>
      <c r="F228" s="1690"/>
      <c r="G228" s="1695"/>
      <c r="H228" s="1697"/>
      <c r="I228" s="1697"/>
      <c r="J228" s="1697"/>
      <c r="K228" s="1697"/>
      <c r="L228" s="1702"/>
      <c r="M228" s="1691">
        <f t="shared" ref="M228:Q228" si="57">SUM(M224:M227)*$D228</f>
        <v>53.744780104927997</v>
      </c>
      <c r="N228" s="1657">
        <f t="shared" si="57"/>
        <v>53.718534585828003</v>
      </c>
      <c r="O228" s="1657">
        <f t="shared" si="57"/>
        <v>53.718534585828003</v>
      </c>
      <c r="P228" s="1657">
        <f t="shared" si="57"/>
        <v>53.718532991999986</v>
      </c>
      <c r="Q228" s="1657">
        <f t="shared" si="57"/>
        <v>53.718532991999986</v>
      </c>
      <c r="R228" s="1693">
        <f>L228*$D228/1000</f>
        <v>0</v>
      </c>
      <c r="S228" s="1442"/>
      <c r="T228" s="3"/>
      <c r="U228" s="3"/>
      <c r="V228" s="3"/>
      <c r="W228" s="3"/>
      <c r="X228" s="3"/>
      <c r="Y228" s="3"/>
      <c r="Z228" s="3"/>
      <c r="AA228" s="3"/>
      <c r="AB228" s="3"/>
      <c r="AC228" s="3"/>
      <c r="AD228" s="3"/>
      <c r="AE228" s="3"/>
      <c r="AF228" s="3"/>
    </row>
    <row r="229" spans="1:32" ht="15" x14ac:dyDescent="0.25">
      <c r="A229" s="3"/>
      <c r="B229" s="1694" t="s">
        <v>1497</v>
      </c>
      <c r="C229" s="1695" t="s">
        <v>692</v>
      </c>
      <c r="D229" s="1696">
        <v>183</v>
      </c>
      <c r="E229" s="1697"/>
      <c r="F229" s="1690"/>
      <c r="G229" s="1691">
        <v>378.54672799999997</v>
      </c>
      <c r="H229" s="1657">
        <v>381.76787580000001</v>
      </c>
      <c r="I229" s="1657">
        <v>384.71023600000001</v>
      </c>
      <c r="J229" s="1657">
        <v>384.71019999999999</v>
      </c>
      <c r="K229" s="1657">
        <v>384.71019999999999</v>
      </c>
      <c r="L229" s="1692">
        <v>384.71023600000001</v>
      </c>
      <c r="M229" s="1691">
        <f t="shared" ref="M229:R232" si="58">G229*$D229/1000</f>
        <v>69.27405122399999</v>
      </c>
      <c r="N229" s="1657">
        <f t="shared" si="58"/>
        <v>69.863521271400003</v>
      </c>
      <c r="O229" s="1657">
        <f t="shared" si="58"/>
        <v>70.401973187999999</v>
      </c>
      <c r="P229" s="1657">
        <f t="shared" si="58"/>
        <v>70.401966599999994</v>
      </c>
      <c r="Q229" s="1657">
        <f t="shared" si="58"/>
        <v>70.401966599999994</v>
      </c>
      <c r="R229" s="1693">
        <f t="shared" si="58"/>
        <v>70.401973187999999</v>
      </c>
      <c r="S229" s="1442"/>
      <c r="T229" s="3"/>
      <c r="U229" s="3"/>
      <c r="V229" s="3"/>
      <c r="W229" s="3"/>
      <c r="X229" s="3"/>
      <c r="Y229" s="3"/>
      <c r="Z229" s="3"/>
      <c r="AA229" s="3"/>
      <c r="AB229" s="3"/>
      <c r="AC229" s="3"/>
      <c r="AD229" s="3"/>
      <c r="AE229" s="3"/>
      <c r="AF229" s="3"/>
    </row>
    <row r="230" spans="1:32" ht="15" x14ac:dyDescent="0.25">
      <c r="A230" s="3"/>
      <c r="B230" s="1694" t="s">
        <v>1499</v>
      </c>
      <c r="C230" s="1699" t="s">
        <v>1491</v>
      </c>
      <c r="D230" s="1696">
        <v>183</v>
      </c>
      <c r="E230" s="1700">
        <v>1.02</v>
      </c>
      <c r="F230" s="1690">
        <f t="shared" ref="F230:F231" si="59">E230*44/12</f>
        <v>3.74</v>
      </c>
      <c r="G230" s="1691">
        <v>0</v>
      </c>
      <c r="H230" s="1657">
        <v>0</v>
      </c>
      <c r="I230" s="1657">
        <v>0</v>
      </c>
      <c r="J230" s="1657">
        <v>0</v>
      </c>
      <c r="K230" s="1657">
        <v>0</v>
      </c>
      <c r="L230" s="1692">
        <v>0</v>
      </c>
      <c r="M230" s="1691">
        <f t="shared" si="58"/>
        <v>0</v>
      </c>
      <c r="N230" s="1657">
        <f t="shared" si="58"/>
        <v>0</v>
      </c>
      <c r="O230" s="1657">
        <f t="shared" si="58"/>
        <v>0</v>
      </c>
      <c r="P230" s="1657">
        <f t="shared" si="58"/>
        <v>0</v>
      </c>
      <c r="Q230" s="1657">
        <f t="shared" si="58"/>
        <v>0</v>
      </c>
      <c r="R230" s="1693">
        <f t="shared" si="58"/>
        <v>0</v>
      </c>
      <c r="S230" s="1442"/>
      <c r="T230" s="3"/>
      <c r="U230" s="3"/>
      <c r="V230" s="3"/>
      <c r="W230" s="3"/>
      <c r="X230" s="3"/>
      <c r="Y230" s="3"/>
      <c r="Z230" s="3"/>
      <c r="AA230" s="3"/>
      <c r="AB230" s="3"/>
      <c r="AC230" s="3"/>
      <c r="AD230" s="3"/>
      <c r="AE230" s="3"/>
      <c r="AF230" s="3"/>
    </row>
    <row r="231" spans="1:32" ht="15" x14ac:dyDescent="0.25">
      <c r="A231" s="3"/>
      <c r="B231" s="1694" t="s">
        <v>1499</v>
      </c>
      <c r="C231" s="1695" t="s">
        <v>1493</v>
      </c>
      <c r="D231" s="1696">
        <v>183</v>
      </c>
      <c r="E231" s="1700">
        <v>1.46</v>
      </c>
      <c r="F231" s="1690">
        <f t="shared" si="59"/>
        <v>5.3533333333333326</v>
      </c>
      <c r="G231" s="1691">
        <v>6.1635079480000003</v>
      </c>
      <c r="H231" s="1657">
        <v>8.6464103950000002</v>
      </c>
      <c r="I231" s="1657">
        <v>5.7040501949999998</v>
      </c>
      <c r="J231" s="1657">
        <v>5.7040499999999996</v>
      </c>
      <c r="K231" s="1657">
        <v>5.7040499999999996</v>
      </c>
      <c r="L231" s="1692">
        <v>5.7040501949999998</v>
      </c>
      <c r="M231" s="1691">
        <f t="shared" si="58"/>
        <v>1.127921954484</v>
      </c>
      <c r="N231" s="1657">
        <f t="shared" si="58"/>
        <v>1.582293102285</v>
      </c>
      <c r="O231" s="1657">
        <f t="shared" si="58"/>
        <v>1.0438411856850001</v>
      </c>
      <c r="P231" s="1657">
        <f t="shared" si="58"/>
        <v>1.04384115</v>
      </c>
      <c r="Q231" s="1657">
        <f t="shared" si="58"/>
        <v>1.04384115</v>
      </c>
      <c r="R231" s="1693">
        <f t="shared" si="58"/>
        <v>1.0438411856850001</v>
      </c>
      <c r="S231" s="1442"/>
      <c r="T231" s="3"/>
      <c r="U231" s="3"/>
      <c r="V231" s="3"/>
      <c r="W231" s="3"/>
      <c r="X231" s="3"/>
      <c r="Y231" s="3"/>
      <c r="Z231" s="3"/>
      <c r="AA231" s="3"/>
      <c r="AB231" s="3"/>
      <c r="AC231" s="3"/>
      <c r="AD231" s="3"/>
      <c r="AE231" s="3"/>
      <c r="AF231" s="3"/>
    </row>
    <row r="232" spans="1:32" ht="15.75" thickBot="1" x14ac:dyDescent="0.3">
      <c r="A232" s="3"/>
      <c r="B232" s="1694" t="s">
        <v>1501</v>
      </c>
      <c r="C232" s="1703" t="s">
        <v>692</v>
      </c>
      <c r="D232" s="1704">
        <v>416</v>
      </c>
      <c r="E232" s="1705"/>
      <c r="F232" s="1706"/>
      <c r="G232" s="1707">
        <v>230.3975188</v>
      </c>
      <c r="H232" s="1661">
        <v>230.3975188</v>
      </c>
      <c r="I232" s="1661">
        <v>230.3975188</v>
      </c>
      <c r="J232" s="1661">
        <v>230.39750000000001</v>
      </c>
      <c r="K232" s="1661">
        <v>230.39750000000001</v>
      </c>
      <c r="L232" s="1708">
        <v>230.3975188</v>
      </c>
      <c r="M232" s="1707">
        <f t="shared" si="58"/>
        <v>95.845367820800007</v>
      </c>
      <c r="N232" s="1661">
        <f t="shared" si="58"/>
        <v>95.845367820800007</v>
      </c>
      <c r="O232" s="1661">
        <f t="shared" si="58"/>
        <v>95.845367820800007</v>
      </c>
      <c r="P232" s="1661">
        <f t="shared" si="58"/>
        <v>95.845359999999999</v>
      </c>
      <c r="Q232" s="1661">
        <f t="shared" si="58"/>
        <v>95.845359999999999</v>
      </c>
      <c r="R232" s="1709">
        <f t="shared" si="58"/>
        <v>95.845367820800007</v>
      </c>
      <c r="S232" s="1442"/>
      <c r="T232" s="3"/>
      <c r="U232" s="3"/>
      <c r="V232" s="3"/>
      <c r="W232" s="3"/>
      <c r="X232" s="3"/>
      <c r="Y232" s="3"/>
      <c r="Z232" s="3"/>
      <c r="AA232" s="3"/>
      <c r="AB232" s="3"/>
      <c r="AC232" s="3"/>
      <c r="AD232" s="3"/>
      <c r="AE232" s="3"/>
      <c r="AF232" s="3"/>
    </row>
    <row r="233" spans="1:32" ht="15" x14ac:dyDescent="0.25">
      <c r="A233" s="3"/>
      <c r="B233" s="3"/>
      <c r="C233" s="3"/>
      <c r="D233" s="3"/>
      <c r="E233" s="3"/>
      <c r="F233" s="3"/>
      <c r="G233" s="3"/>
      <c r="H233" s="3"/>
      <c r="I233" s="3"/>
      <c r="J233" s="3"/>
      <c r="K233" s="3"/>
      <c r="M233" s="3"/>
      <c r="N233" s="3"/>
      <c r="O233" s="3"/>
      <c r="P233" s="3"/>
      <c r="Q233" s="3"/>
      <c r="R233" s="3"/>
      <c r="S233" s="3"/>
      <c r="T233" s="3"/>
      <c r="U233" s="3"/>
      <c r="V233" s="3"/>
      <c r="W233" s="3"/>
      <c r="X233" s="3"/>
      <c r="Y233" s="3"/>
      <c r="Z233" s="3"/>
      <c r="AA233" s="3"/>
      <c r="AB233" s="3"/>
      <c r="AC233" s="3"/>
      <c r="AD233" s="3"/>
      <c r="AE233" s="3"/>
      <c r="AF233" s="3"/>
    </row>
    <row r="234" spans="1:32" ht="15.75" thickBot="1" x14ac:dyDescent="0.3">
      <c r="A234" s="3"/>
      <c r="B234" s="3"/>
      <c r="C234" s="3"/>
      <c r="D234" s="3"/>
      <c r="E234" s="3"/>
      <c r="F234" s="3"/>
      <c r="G234" s="3"/>
      <c r="H234" s="3"/>
      <c r="I234" s="3"/>
      <c r="J234" s="3"/>
      <c r="K234" s="3"/>
      <c r="M234" s="3"/>
      <c r="N234" s="3"/>
      <c r="O234" s="3"/>
      <c r="P234" s="3"/>
      <c r="Q234" s="3"/>
      <c r="R234" s="3"/>
      <c r="S234" s="3"/>
      <c r="T234" s="3"/>
      <c r="U234" s="3"/>
      <c r="V234" s="3"/>
      <c r="W234" s="3"/>
      <c r="X234" s="3"/>
      <c r="Y234" s="3"/>
      <c r="Z234" s="3"/>
      <c r="AA234" s="3"/>
      <c r="AB234" s="3"/>
      <c r="AC234" s="3"/>
      <c r="AD234" s="3"/>
      <c r="AE234" s="3"/>
      <c r="AF234" s="3"/>
    </row>
    <row r="235" spans="1:32" ht="15" x14ac:dyDescent="0.25">
      <c r="A235" s="3"/>
      <c r="B235" s="3"/>
      <c r="C235" s="1869" t="s">
        <v>1482</v>
      </c>
      <c r="D235" s="1870"/>
      <c r="E235" s="1870"/>
      <c r="F235" s="1764"/>
      <c r="G235" s="1871" t="s">
        <v>1483</v>
      </c>
      <c r="H235" s="1870"/>
      <c r="I235" s="1870"/>
      <c r="J235" s="1870"/>
      <c r="K235" s="1870"/>
      <c r="L235" s="1764"/>
      <c r="M235" s="1872" t="s">
        <v>1502</v>
      </c>
      <c r="N235" s="1870"/>
      <c r="O235" s="1870"/>
      <c r="P235" s="1870"/>
      <c r="Q235" s="1870"/>
      <c r="R235" s="1764"/>
      <c r="T235" s="3"/>
      <c r="U235" s="3"/>
      <c r="V235" s="3"/>
      <c r="W235" s="3"/>
      <c r="X235" s="3"/>
      <c r="Y235" s="3"/>
      <c r="Z235" s="3"/>
      <c r="AA235" s="3"/>
      <c r="AB235" s="3"/>
      <c r="AC235" s="3"/>
      <c r="AD235" s="3"/>
      <c r="AE235" s="3"/>
      <c r="AF235" s="3"/>
    </row>
    <row r="236" spans="1:32" ht="15" x14ac:dyDescent="0.25">
      <c r="A236" s="3"/>
      <c r="B236" s="1602" t="s">
        <v>1485</v>
      </c>
      <c r="C236" s="1682" t="s">
        <v>1486</v>
      </c>
      <c r="D236" s="1683" t="s">
        <v>1487</v>
      </c>
      <c r="E236" s="1683" t="s">
        <v>1488</v>
      </c>
      <c r="F236" s="1684" t="s">
        <v>1489</v>
      </c>
      <c r="G236" s="1682">
        <v>2006</v>
      </c>
      <c r="H236" s="1683">
        <v>2011</v>
      </c>
      <c r="I236" s="1683">
        <v>2014</v>
      </c>
      <c r="J236" s="1683">
        <v>2017</v>
      </c>
      <c r="K236" s="1683">
        <v>2020</v>
      </c>
      <c r="L236" s="1685">
        <v>2023</v>
      </c>
      <c r="M236" s="1682">
        <v>2006</v>
      </c>
      <c r="N236" s="1683">
        <v>2011</v>
      </c>
      <c r="O236" s="1683">
        <v>2014</v>
      </c>
      <c r="P236" s="1683">
        <v>2017</v>
      </c>
      <c r="Q236" s="1683">
        <v>2020</v>
      </c>
      <c r="R236" s="1685">
        <v>2023</v>
      </c>
      <c r="T236" s="3"/>
      <c r="U236" s="3"/>
      <c r="V236" s="3"/>
      <c r="W236" s="3"/>
      <c r="X236" s="3"/>
      <c r="Y236" s="3"/>
      <c r="Z236" s="3"/>
      <c r="AA236" s="3"/>
      <c r="AB236" s="3"/>
      <c r="AC236" s="3"/>
      <c r="AD236" s="3"/>
      <c r="AE236" s="3"/>
      <c r="AF236" s="3"/>
    </row>
    <row r="237" spans="1:32" ht="15" x14ac:dyDescent="0.25">
      <c r="A237" s="3"/>
      <c r="B237" s="1686" t="s">
        <v>1490</v>
      </c>
      <c r="C237" s="1687" t="s">
        <v>1491</v>
      </c>
      <c r="D237" s="1688">
        <v>54</v>
      </c>
      <c r="E237" s="1689"/>
      <c r="F237" s="1690"/>
      <c r="G237" s="1691">
        <v>2135.3404</v>
      </c>
      <c r="H237" s="1657">
        <v>2144.8393219999998</v>
      </c>
      <c r="I237" s="1657">
        <v>2144.8393219999998</v>
      </c>
      <c r="J237" s="1657">
        <v>2144.8389999999999</v>
      </c>
      <c r="K237" s="1657">
        <v>2144.8389999999999</v>
      </c>
      <c r="L237" s="1692">
        <v>2144.8393219999998</v>
      </c>
      <c r="M237" s="1691">
        <f t="shared" ref="M237:R240" si="60">G237*$F237</f>
        <v>0</v>
      </c>
      <c r="N237" s="1657">
        <f t="shared" si="60"/>
        <v>0</v>
      </c>
      <c r="O237" s="1657">
        <f t="shared" si="60"/>
        <v>0</v>
      </c>
      <c r="P237" s="1657">
        <f t="shared" si="60"/>
        <v>0</v>
      </c>
      <c r="Q237" s="1657">
        <f t="shared" si="60"/>
        <v>0</v>
      </c>
      <c r="R237" s="1693">
        <f t="shared" si="60"/>
        <v>0</v>
      </c>
      <c r="T237" s="3"/>
      <c r="U237" s="3"/>
      <c r="V237" s="3"/>
      <c r="W237" s="3"/>
      <c r="X237" s="3"/>
      <c r="Y237" s="3"/>
      <c r="Z237" s="3"/>
      <c r="AA237" s="3"/>
      <c r="AB237" s="3"/>
      <c r="AC237" s="3"/>
      <c r="AD237" s="3"/>
      <c r="AE237" s="3"/>
      <c r="AF237" s="3"/>
    </row>
    <row r="238" spans="1:32" ht="15" x14ac:dyDescent="0.25">
      <c r="A238" s="3"/>
      <c r="B238" s="1694" t="s">
        <v>1490</v>
      </c>
      <c r="C238" s="1695" t="s">
        <v>1493</v>
      </c>
      <c r="D238" s="1696">
        <v>80.3</v>
      </c>
      <c r="E238" s="1697"/>
      <c r="F238" s="1690"/>
      <c r="G238" s="1691">
        <v>5990.6760039999999</v>
      </c>
      <c r="H238" s="1657">
        <v>5990.6760039999999</v>
      </c>
      <c r="I238" s="1657">
        <v>5990.6760039999999</v>
      </c>
      <c r="J238" s="1657">
        <v>5990.6760000000004</v>
      </c>
      <c r="K238" s="1657">
        <v>5990.6760000000004</v>
      </c>
      <c r="L238" s="1692">
        <v>5990.6760039999999</v>
      </c>
      <c r="M238" s="1691">
        <f t="shared" si="60"/>
        <v>0</v>
      </c>
      <c r="N238" s="1657">
        <f t="shared" si="60"/>
        <v>0</v>
      </c>
      <c r="O238" s="1657">
        <f t="shared" si="60"/>
        <v>0</v>
      </c>
      <c r="P238" s="1657">
        <f t="shared" si="60"/>
        <v>0</v>
      </c>
      <c r="Q238" s="1657">
        <f t="shared" si="60"/>
        <v>0</v>
      </c>
      <c r="R238" s="1693">
        <f t="shared" si="60"/>
        <v>0</v>
      </c>
      <c r="T238" s="3"/>
      <c r="U238" s="3"/>
      <c r="V238" s="3"/>
      <c r="W238" s="3"/>
      <c r="X238" s="3"/>
      <c r="Y238" s="3"/>
      <c r="Z238" s="3"/>
      <c r="AA238" s="3"/>
      <c r="AB238" s="3"/>
      <c r="AC238" s="3"/>
      <c r="AD238" s="3"/>
      <c r="AE238" s="3"/>
      <c r="AF238" s="3"/>
    </row>
    <row r="239" spans="1:32" ht="15" x14ac:dyDescent="0.25">
      <c r="A239" s="3"/>
      <c r="B239" s="1698" t="s">
        <v>1494</v>
      </c>
      <c r="C239" s="1699" t="s">
        <v>1491</v>
      </c>
      <c r="D239" s="1700">
        <v>84.7</v>
      </c>
      <c r="E239" s="1700">
        <v>1.02</v>
      </c>
      <c r="F239" s="1690">
        <f t="shared" ref="F239:F240" si="61">E239*44/12</f>
        <v>3.74</v>
      </c>
      <c r="G239" s="1691">
        <v>9.4989216869999993</v>
      </c>
      <c r="H239" s="1657">
        <v>0</v>
      </c>
      <c r="I239" s="1657">
        <v>0</v>
      </c>
      <c r="J239" s="1657">
        <v>0</v>
      </c>
      <c r="K239" s="1657">
        <v>0</v>
      </c>
      <c r="L239" s="1692">
        <v>0</v>
      </c>
      <c r="M239" s="1691">
        <f t="shared" si="60"/>
        <v>35.525967109379998</v>
      </c>
      <c r="N239" s="1657">
        <f t="shared" si="60"/>
        <v>0</v>
      </c>
      <c r="O239" s="1657">
        <f t="shared" si="60"/>
        <v>0</v>
      </c>
      <c r="P239" s="1657">
        <f t="shared" si="60"/>
        <v>0</v>
      </c>
      <c r="Q239" s="1657">
        <f t="shared" si="60"/>
        <v>0</v>
      </c>
      <c r="R239" s="1693">
        <f t="shared" si="60"/>
        <v>0</v>
      </c>
      <c r="T239" s="3"/>
      <c r="U239" s="3"/>
      <c r="V239" s="3"/>
      <c r="W239" s="3"/>
      <c r="X239" s="3"/>
      <c r="Y239" s="3"/>
      <c r="Z239" s="3"/>
      <c r="AA239" s="3"/>
      <c r="AB239" s="3"/>
      <c r="AC239" s="3"/>
      <c r="AD239" s="3"/>
      <c r="AE239" s="3"/>
      <c r="AF239" s="3"/>
    </row>
    <row r="240" spans="1:32" ht="15" x14ac:dyDescent="0.25">
      <c r="A240" s="3"/>
      <c r="B240" s="1698" t="s">
        <v>1494</v>
      </c>
      <c r="C240" s="1695" t="s">
        <v>1493</v>
      </c>
      <c r="D240" s="1700">
        <v>127.5</v>
      </c>
      <c r="E240" s="1700">
        <v>1.46</v>
      </c>
      <c r="F240" s="1690">
        <f t="shared" si="61"/>
        <v>5.3533333333333326</v>
      </c>
      <c r="G240" s="1691">
        <v>0</v>
      </c>
      <c r="H240" s="1657">
        <v>0</v>
      </c>
      <c r="I240" s="1657">
        <v>0</v>
      </c>
      <c r="J240" s="1657">
        <v>0</v>
      </c>
      <c r="K240" s="1657">
        <v>0</v>
      </c>
      <c r="L240" s="1692">
        <v>0</v>
      </c>
      <c r="M240" s="1691">
        <f t="shared" si="60"/>
        <v>0</v>
      </c>
      <c r="N240" s="1657">
        <f t="shared" si="60"/>
        <v>0</v>
      </c>
      <c r="O240" s="1657">
        <f t="shared" si="60"/>
        <v>0</v>
      </c>
      <c r="P240" s="1657">
        <f t="shared" si="60"/>
        <v>0</v>
      </c>
      <c r="Q240" s="1657">
        <f t="shared" si="60"/>
        <v>0</v>
      </c>
      <c r="R240" s="1693">
        <f t="shared" si="60"/>
        <v>0</v>
      </c>
      <c r="T240" s="3"/>
      <c r="U240" s="3"/>
      <c r="V240" s="3"/>
      <c r="W240" s="3"/>
      <c r="X240" s="3"/>
      <c r="Y240" s="3"/>
      <c r="Z240" s="3"/>
      <c r="AA240" s="3"/>
      <c r="AB240" s="3"/>
      <c r="AC240" s="3"/>
      <c r="AD240" s="3"/>
      <c r="AE240" s="3"/>
      <c r="AF240" s="3"/>
    </row>
    <row r="241" spans="1:32" ht="15" x14ac:dyDescent="0.25">
      <c r="A241" s="3"/>
      <c r="B241" s="1694" t="s">
        <v>1496</v>
      </c>
      <c r="C241" s="1695" t="s">
        <v>692</v>
      </c>
      <c r="D241" s="1701">
        <v>0.09</v>
      </c>
      <c r="E241" s="1697"/>
      <c r="F241" s="1690"/>
      <c r="G241" s="1695"/>
      <c r="H241" s="1697"/>
      <c r="I241" s="1697"/>
      <c r="J241" s="1697"/>
      <c r="K241" s="1697"/>
      <c r="L241" s="1702"/>
      <c r="M241" s="1691"/>
      <c r="N241" s="1657"/>
      <c r="O241" s="1657"/>
      <c r="P241" s="1657"/>
      <c r="Q241" s="1657"/>
      <c r="R241" s="1693"/>
      <c r="T241" s="3"/>
      <c r="U241" s="3"/>
      <c r="V241" s="3"/>
      <c r="W241" s="3"/>
      <c r="X241" s="3"/>
      <c r="Y241" s="3"/>
      <c r="Z241" s="3"/>
      <c r="AA241" s="3"/>
      <c r="AB241" s="3"/>
      <c r="AC241" s="3"/>
      <c r="AD241" s="3"/>
      <c r="AE241" s="3"/>
      <c r="AF241" s="3"/>
    </row>
    <row r="242" spans="1:32" ht="15" x14ac:dyDescent="0.25">
      <c r="A242" s="3"/>
      <c r="B242" s="1694" t="s">
        <v>1497</v>
      </c>
      <c r="C242" s="1695" t="s">
        <v>692</v>
      </c>
      <c r="D242" s="1696">
        <v>183</v>
      </c>
      <c r="E242" s="1697"/>
      <c r="F242" s="1690"/>
      <c r="G242" s="1691">
        <v>378.54672799999997</v>
      </c>
      <c r="H242" s="1657">
        <v>381.76787580000001</v>
      </c>
      <c r="I242" s="1657">
        <v>384.71023600000001</v>
      </c>
      <c r="J242" s="1657">
        <v>384.71019999999999</v>
      </c>
      <c r="K242" s="1657">
        <v>384.71019999999999</v>
      </c>
      <c r="L242" s="1692">
        <v>384.71023600000001</v>
      </c>
      <c r="M242" s="1691">
        <f t="shared" ref="M242:R245" si="62">G242*$F242</f>
        <v>0</v>
      </c>
      <c r="N242" s="1657">
        <f t="shared" si="62"/>
        <v>0</v>
      </c>
      <c r="O242" s="1657">
        <f t="shared" si="62"/>
        <v>0</v>
      </c>
      <c r="P242" s="1657">
        <f t="shared" si="62"/>
        <v>0</v>
      </c>
      <c r="Q242" s="1657">
        <f t="shared" si="62"/>
        <v>0</v>
      </c>
      <c r="R242" s="1693">
        <f t="shared" si="62"/>
        <v>0</v>
      </c>
      <c r="T242" s="3"/>
      <c r="U242" s="3"/>
      <c r="V242" s="3"/>
      <c r="W242" s="3"/>
      <c r="X242" s="3"/>
      <c r="Y242" s="3"/>
      <c r="Z242" s="3"/>
      <c r="AA242" s="3"/>
      <c r="AB242" s="3"/>
      <c r="AC242" s="3"/>
      <c r="AD242" s="3"/>
      <c r="AE242" s="3"/>
      <c r="AF242" s="3"/>
    </row>
    <row r="243" spans="1:32" ht="15" x14ac:dyDescent="0.25">
      <c r="A243" s="3"/>
      <c r="B243" s="1694" t="s">
        <v>1499</v>
      </c>
      <c r="C243" s="1699" t="s">
        <v>1491</v>
      </c>
      <c r="D243" s="1696">
        <v>183</v>
      </c>
      <c r="E243" s="1700">
        <v>1.02</v>
      </c>
      <c r="F243" s="1690">
        <f t="shared" ref="F243:F244" si="63">E243*44/12</f>
        <v>3.74</v>
      </c>
      <c r="G243" s="1691">
        <v>0</v>
      </c>
      <c r="H243" s="1657">
        <v>0</v>
      </c>
      <c r="I243" s="1657">
        <v>0</v>
      </c>
      <c r="J243" s="1657">
        <v>0</v>
      </c>
      <c r="K243" s="1657">
        <v>0</v>
      </c>
      <c r="L243" s="1692">
        <v>0</v>
      </c>
      <c r="M243" s="1691">
        <f t="shared" si="62"/>
        <v>0</v>
      </c>
      <c r="N243" s="1657">
        <f t="shared" si="62"/>
        <v>0</v>
      </c>
      <c r="O243" s="1657">
        <f t="shared" si="62"/>
        <v>0</v>
      </c>
      <c r="P243" s="1657">
        <f t="shared" si="62"/>
        <v>0</v>
      </c>
      <c r="Q243" s="1657">
        <f t="shared" si="62"/>
        <v>0</v>
      </c>
      <c r="R243" s="1693">
        <f t="shared" si="62"/>
        <v>0</v>
      </c>
      <c r="T243" s="3"/>
      <c r="U243" s="3"/>
      <c r="V243" s="3"/>
      <c r="W243" s="3"/>
      <c r="X243" s="3"/>
      <c r="Y243" s="3"/>
      <c r="Z243" s="3"/>
      <c r="AA243" s="3"/>
      <c r="AB243" s="3"/>
      <c r="AC243" s="3"/>
      <c r="AD243" s="3"/>
      <c r="AE243" s="3"/>
      <c r="AF243" s="3"/>
    </row>
    <row r="244" spans="1:32" ht="15" x14ac:dyDescent="0.25">
      <c r="A244" s="3"/>
      <c r="B244" s="1694" t="s">
        <v>1499</v>
      </c>
      <c r="C244" s="1695" t="s">
        <v>1493</v>
      </c>
      <c r="D244" s="1696">
        <v>183</v>
      </c>
      <c r="E244" s="1700">
        <v>1.46</v>
      </c>
      <c r="F244" s="1690">
        <f t="shared" si="63"/>
        <v>5.3533333333333326</v>
      </c>
      <c r="G244" s="1691">
        <v>6.1635079480000003</v>
      </c>
      <c r="H244" s="1657">
        <v>8.6464103950000002</v>
      </c>
      <c r="I244" s="1657">
        <v>5.7040501949999998</v>
      </c>
      <c r="J244" s="1657">
        <v>5.7040499999999996</v>
      </c>
      <c r="K244" s="1657">
        <v>5.7040499999999996</v>
      </c>
      <c r="L244" s="1692">
        <v>5.7040501949999998</v>
      </c>
      <c r="M244" s="1691">
        <f t="shared" si="62"/>
        <v>32.995312548293327</v>
      </c>
      <c r="N244" s="1657">
        <f t="shared" si="62"/>
        <v>46.287116981233325</v>
      </c>
      <c r="O244" s="1657">
        <f t="shared" si="62"/>
        <v>30.535682043899996</v>
      </c>
      <c r="P244" s="1657">
        <f t="shared" si="62"/>
        <v>30.535680999999993</v>
      </c>
      <c r="Q244" s="1657">
        <f t="shared" si="62"/>
        <v>30.535680999999993</v>
      </c>
      <c r="R244" s="1693">
        <f t="shared" si="62"/>
        <v>30.535682043899996</v>
      </c>
      <c r="T244" s="3"/>
      <c r="U244" s="3"/>
      <c r="V244" s="3"/>
      <c r="W244" s="3"/>
      <c r="X244" s="3"/>
      <c r="Y244" s="3"/>
      <c r="Z244" s="3"/>
      <c r="AA244" s="3"/>
      <c r="AB244" s="3"/>
      <c r="AC244" s="3"/>
      <c r="AD244" s="3"/>
      <c r="AE244" s="3"/>
      <c r="AF244" s="3"/>
    </row>
    <row r="245" spans="1:32" ht="15.75" thickBot="1" x14ac:dyDescent="0.3">
      <c r="A245" s="3"/>
      <c r="B245" s="1694" t="s">
        <v>1501</v>
      </c>
      <c r="C245" s="1703" t="s">
        <v>692</v>
      </c>
      <c r="D245" s="1704">
        <v>416</v>
      </c>
      <c r="E245" s="1705"/>
      <c r="F245" s="1706"/>
      <c r="G245" s="1707">
        <v>230.3975188</v>
      </c>
      <c r="H245" s="1661">
        <v>230.3975188</v>
      </c>
      <c r="I245" s="1661">
        <v>230.3975188</v>
      </c>
      <c r="J245" s="1661">
        <v>230.39750000000001</v>
      </c>
      <c r="K245" s="1661">
        <v>230.39750000000001</v>
      </c>
      <c r="L245" s="1708">
        <v>230.3975188</v>
      </c>
      <c r="M245" s="1707">
        <f t="shared" si="62"/>
        <v>0</v>
      </c>
      <c r="N245" s="1661">
        <f t="shared" si="62"/>
        <v>0</v>
      </c>
      <c r="O245" s="1661">
        <f t="shared" si="62"/>
        <v>0</v>
      </c>
      <c r="P245" s="1661">
        <f t="shared" si="62"/>
        <v>0</v>
      </c>
      <c r="Q245" s="1661">
        <f t="shared" si="62"/>
        <v>0</v>
      </c>
      <c r="R245" s="1709">
        <f t="shared" si="62"/>
        <v>0</v>
      </c>
      <c r="T245" s="3"/>
      <c r="U245" s="3"/>
      <c r="V245" s="3"/>
      <c r="W245" s="3"/>
      <c r="X245" s="3"/>
      <c r="Y245" s="3"/>
      <c r="Z245" s="3"/>
      <c r="AA245" s="3"/>
      <c r="AB245" s="3"/>
      <c r="AC245" s="3"/>
      <c r="AD245" s="3"/>
      <c r="AE245" s="3"/>
      <c r="AF245" s="3"/>
    </row>
    <row r="246" spans="1:32" ht="15"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row>
    <row r="247" spans="1:32" ht="15"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row>
    <row r="248" spans="1:32" ht="15" x14ac:dyDescent="0.25">
      <c r="A248" s="3"/>
      <c r="B248" s="1323" t="s">
        <v>1503</v>
      </c>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row>
    <row r="249" spans="1:32" ht="15"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row>
    <row r="250" spans="1:32" ht="15" x14ac:dyDescent="0.25">
      <c r="A250" s="3"/>
      <c r="B250" s="1614" t="s">
        <v>1331</v>
      </c>
      <c r="C250" s="1604">
        <v>2006</v>
      </c>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row>
    <row r="251" spans="1:32" ht="15" x14ac:dyDescent="0.25">
      <c r="A251" s="3"/>
      <c r="B251" s="1710" t="s">
        <v>3</v>
      </c>
      <c r="C251" s="1711">
        <f>SUM(C252:C254)</f>
        <v>-0.53596143811892671</v>
      </c>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row>
    <row r="252" spans="1:32" ht="15" x14ac:dyDescent="0.25">
      <c r="A252" s="3"/>
      <c r="B252" s="1712" t="s">
        <v>1504</v>
      </c>
      <c r="C252" s="1648">
        <f>(D193+D217)/1000000</f>
        <v>-0.52198171836744367</v>
      </c>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row>
    <row r="253" spans="1:32" ht="15" x14ac:dyDescent="0.25">
      <c r="A253" s="3"/>
      <c r="B253" s="1712" t="s">
        <v>1505</v>
      </c>
      <c r="C253" s="1648">
        <f>D194/1000000</f>
        <v>-1.4048241031140609E-2</v>
      </c>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row>
    <row r="254" spans="1:32" ht="15" x14ac:dyDescent="0.25">
      <c r="A254" s="3"/>
      <c r="B254" s="1712" t="s">
        <v>1506</v>
      </c>
      <c r="C254" s="1648">
        <f>SUM(M237:M245)/1000000</f>
        <v>6.8521279657673324E-5</v>
      </c>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row>
    <row r="255" spans="1:32" ht="15" x14ac:dyDescent="0.25">
      <c r="A255" s="3"/>
      <c r="B255" s="1710" t="s">
        <v>4</v>
      </c>
      <c r="C255" s="1711">
        <f>SUM(C256:C258)</f>
        <v>0.2920498022937511</v>
      </c>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row>
    <row r="256" spans="1:32" ht="15" x14ac:dyDescent="0.25">
      <c r="A256" s="3"/>
      <c r="B256" s="1712" t="s">
        <v>1504</v>
      </c>
      <c r="C256" s="1648">
        <f>D204*K5/1000000</f>
        <v>0.26564370150133099</v>
      </c>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row>
    <row r="257" spans="1:32" ht="15" x14ac:dyDescent="0.25">
      <c r="A257" s="3"/>
      <c r="B257" s="1712" t="s">
        <v>1505</v>
      </c>
      <c r="C257" s="1648">
        <f>D205*K5/1000000</f>
        <v>3.6074387810849638E-3</v>
      </c>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row>
    <row r="258" spans="1:32" ht="15" x14ac:dyDescent="0.25">
      <c r="A258" s="3"/>
      <c r="B258" s="1712" t="s">
        <v>1506</v>
      </c>
      <c r="C258" s="1648">
        <f>SUM(M224:M232)*K5/1000000</f>
        <v>2.2798662011335194E-2</v>
      </c>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row>
    <row r="259" spans="1:32" ht="15" x14ac:dyDescent="0.25">
      <c r="A259" s="3"/>
      <c r="B259" s="1621" t="s">
        <v>95</v>
      </c>
      <c r="C259" s="1713">
        <f>C251+C255</f>
        <v>-0.24391163582517561</v>
      </c>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row>
    <row r="260" spans="1:32" ht="15" x14ac:dyDescent="0.25">
      <c r="A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row>
    <row r="261" spans="1:32" ht="15"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row>
    <row r="262" spans="1:32" ht="15" x14ac:dyDescent="0.25">
      <c r="A262" s="3"/>
      <c r="B262" s="1588" t="s">
        <v>1507</v>
      </c>
      <c r="C262" s="1589"/>
      <c r="D262" s="1589"/>
      <c r="E262" s="1589"/>
      <c r="F262" s="1589"/>
      <c r="G262" s="1589"/>
      <c r="H262" s="1589"/>
      <c r="I262" s="1589"/>
      <c r="J262" s="1589"/>
      <c r="K262" s="1589"/>
      <c r="L262" s="1589"/>
      <c r="M262" s="1589"/>
      <c r="N262" s="1589"/>
      <c r="O262" s="1589"/>
      <c r="P262" s="1589"/>
      <c r="Q262" s="1589"/>
      <c r="R262" s="1589"/>
      <c r="S262" s="1589"/>
      <c r="T262" s="3"/>
      <c r="U262" s="3"/>
      <c r="V262" s="3"/>
      <c r="W262" s="3"/>
      <c r="X262" s="3"/>
      <c r="Y262" s="3"/>
      <c r="Z262" s="3"/>
      <c r="AA262" s="3"/>
      <c r="AB262" s="3"/>
      <c r="AC262" s="3"/>
      <c r="AD262" s="3"/>
      <c r="AE262" s="3"/>
      <c r="AF262" s="3"/>
    </row>
    <row r="263" spans="1:32" ht="15" x14ac:dyDescent="0.25">
      <c r="A263" s="3"/>
      <c r="B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row>
    <row r="264" spans="1:32" ht="15" x14ac:dyDescent="0.25">
      <c r="A264" s="3"/>
      <c r="B264" s="1714"/>
      <c r="C264" s="1715">
        <v>2006</v>
      </c>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row>
    <row r="265" spans="1:32" ht="15" x14ac:dyDescent="0.25">
      <c r="A265" s="3"/>
      <c r="B265" s="1716" t="s">
        <v>1508</v>
      </c>
      <c r="C265" s="1734">
        <f>C266+C273+C276+C278+C281+C282</f>
        <v>-8.9931458277288598</v>
      </c>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row>
    <row r="266" spans="1:32" ht="15" x14ac:dyDescent="0.25">
      <c r="A266" s="3"/>
      <c r="B266" s="1234" t="s">
        <v>512</v>
      </c>
      <c r="C266" s="1717">
        <f>SUM(C267:C272)</f>
        <v>-7.4954002019873522</v>
      </c>
      <c r="E266" s="1718"/>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row>
    <row r="267" spans="1:32" ht="15" x14ac:dyDescent="0.25">
      <c r="A267" s="3"/>
      <c r="B267" s="1719" t="s">
        <v>1335</v>
      </c>
      <c r="C267" s="1107">
        <f>C86</f>
        <v>-5.854744133333333</v>
      </c>
      <c r="E267" s="1718"/>
      <c r="F267" s="1720"/>
      <c r="G267" s="1720"/>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row>
    <row r="268" spans="1:32" ht="15" x14ac:dyDescent="0.25">
      <c r="A268" s="3"/>
      <c r="B268" s="1719" t="s">
        <v>1337</v>
      </c>
      <c r="C268" s="1107">
        <f t="shared" ref="C268:C272" si="64">C87</f>
        <v>-1.1106560686540199</v>
      </c>
      <c r="E268" s="1718"/>
      <c r="F268" s="1720"/>
      <c r="G268" s="1720"/>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row>
    <row r="269" spans="1:32" ht="15" x14ac:dyDescent="0.25">
      <c r="A269" s="3"/>
      <c r="B269" s="1719" t="s">
        <v>1345</v>
      </c>
      <c r="C269" s="1107">
        <f t="shared" si="64"/>
        <v>-0.75000000000000011</v>
      </c>
      <c r="E269" s="1718"/>
      <c r="F269" s="1720"/>
      <c r="G269" s="1720"/>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row>
    <row r="270" spans="1:32" ht="15" x14ac:dyDescent="0.25">
      <c r="A270" s="3"/>
      <c r="B270" s="1719" t="s">
        <v>1346</v>
      </c>
      <c r="C270" s="1107">
        <f t="shared" si="64"/>
        <v>0.10999999999999999</v>
      </c>
      <c r="E270" s="1718"/>
      <c r="F270" s="1720"/>
      <c r="G270" s="1720"/>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row>
    <row r="271" spans="1:32" ht="15" x14ac:dyDescent="0.25">
      <c r="A271" s="3"/>
      <c r="B271" s="1719" t="s">
        <v>1348</v>
      </c>
      <c r="C271" s="1107">
        <f t="shared" si="64"/>
        <v>0.11</v>
      </c>
      <c r="E271" s="1718"/>
      <c r="F271" s="1720"/>
      <c r="G271" s="1720"/>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row>
    <row r="272" spans="1:32" ht="15" x14ac:dyDescent="0.25">
      <c r="A272" s="3"/>
      <c r="B272" s="1719" t="s">
        <v>1351</v>
      </c>
      <c r="C272" s="1107">
        <f t="shared" si="64"/>
        <v>0</v>
      </c>
      <c r="E272" s="1718"/>
      <c r="F272" s="1720"/>
      <c r="G272" s="1720"/>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row>
    <row r="273" spans="1:32" ht="15" x14ac:dyDescent="0.25">
      <c r="A273" s="3"/>
      <c r="B273" s="1234" t="s">
        <v>514</v>
      </c>
      <c r="C273" s="1717">
        <f>C274+C275</f>
        <v>-0.90467683894012485</v>
      </c>
      <c r="E273" s="1718"/>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row>
    <row r="274" spans="1:32" ht="15" x14ac:dyDescent="0.25">
      <c r="A274" s="3"/>
      <c r="B274" s="1719" t="s">
        <v>1356</v>
      </c>
      <c r="C274" s="1107">
        <f>C103</f>
        <v>-0.18467683894012488</v>
      </c>
      <c r="E274" s="1718"/>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row>
    <row r="275" spans="1:32" ht="15" x14ac:dyDescent="0.25">
      <c r="A275" s="3"/>
      <c r="B275" s="1719" t="s">
        <v>1363</v>
      </c>
      <c r="C275" s="1107">
        <f>C109</f>
        <v>-0.72</v>
      </c>
      <c r="E275" s="1718"/>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row>
    <row r="276" spans="1:32" ht="15" x14ac:dyDescent="0.25">
      <c r="A276" s="3"/>
      <c r="B276" s="1234" t="s">
        <v>515</v>
      </c>
      <c r="C276" s="1717">
        <f>C277</f>
        <v>2.010294E-2</v>
      </c>
      <c r="E276" s="1718"/>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row>
    <row r="277" spans="1:32" ht="15" x14ac:dyDescent="0.25">
      <c r="A277" s="3"/>
      <c r="B277" s="1719" t="s">
        <v>5</v>
      </c>
      <c r="C277" s="1107">
        <f>G121</f>
        <v>2.010294E-2</v>
      </c>
      <c r="E277" s="1718"/>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row>
    <row r="278" spans="1:32" ht="15" x14ac:dyDescent="0.25">
      <c r="A278" s="3"/>
      <c r="B278" s="1721" t="s">
        <v>518</v>
      </c>
      <c r="C278" s="1717">
        <f>C279+C280</f>
        <v>4.6631303023795194E-2</v>
      </c>
      <c r="E278" s="1718"/>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row>
    <row r="279" spans="1:32" ht="15" x14ac:dyDescent="0.25">
      <c r="A279" s="3"/>
      <c r="B279" s="1719" t="s">
        <v>4</v>
      </c>
      <c r="C279" s="1107">
        <f>C156</f>
        <v>3.6210260353939192E-2</v>
      </c>
      <c r="E279" s="1718"/>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row>
    <row r="280" spans="1:32" ht="15" x14ac:dyDescent="0.25">
      <c r="A280" s="3"/>
      <c r="B280" s="1719" t="s">
        <v>5</v>
      </c>
      <c r="C280" s="1107">
        <f>C157</f>
        <v>1.0421042669856002E-2</v>
      </c>
      <c r="E280" s="1718"/>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row>
    <row r="281" spans="1:32" ht="15" x14ac:dyDescent="0.25">
      <c r="A281" s="3"/>
      <c r="B281" s="1721" t="s">
        <v>1510</v>
      </c>
      <c r="C281" s="1717">
        <f>C165</f>
        <v>-0.41589139400000003</v>
      </c>
      <c r="E281" s="1718"/>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row>
    <row r="282" spans="1:32" ht="15" x14ac:dyDescent="0.25">
      <c r="A282" s="3"/>
      <c r="B282" s="1721" t="s">
        <v>522</v>
      </c>
      <c r="C282" s="1717">
        <f>SUM(C283:C284)</f>
        <v>-0.24391163582517561</v>
      </c>
      <c r="E282" s="1718"/>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row>
    <row r="283" spans="1:32" ht="15" x14ac:dyDescent="0.25">
      <c r="A283" s="3"/>
      <c r="B283" s="1719" t="s">
        <v>3</v>
      </c>
      <c r="C283" s="1107">
        <f>C251</f>
        <v>-0.53596143811892671</v>
      </c>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row>
    <row r="284" spans="1:32" ht="15" x14ac:dyDescent="0.25">
      <c r="A284" s="3"/>
      <c r="B284" s="1719" t="s">
        <v>4</v>
      </c>
      <c r="C284" s="1107">
        <f>C255</f>
        <v>0.2920498022937511</v>
      </c>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row>
    <row r="285" spans="1:32" ht="15" x14ac:dyDescent="0.25">
      <c r="A285" s="3"/>
      <c r="B285" s="19" t="s">
        <v>1518</v>
      </c>
      <c r="C285" s="19"/>
      <c r="D285" s="19"/>
      <c r="E285" s="19"/>
      <c r="F285" s="19"/>
      <c r="G285" s="19"/>
      <c r="H285" s="19"/>
      <c r="I285" s="19"/>
      <c r="J285" s="3"/>
      <c r="K285" s="3"/>
      <c r="L285" s="3"/>
      <c r="M285" s="3"/>
      <c r="N285" s="3"/>
      <c r="O285" s="3"/>
      <c r="P285" s="3"/>
      <c r="Q285" s="3"/>
      <c r="R285" s="3"/>
      <c r="S285" s="3"/>
      <c r="T285" s="3"/>
      <c r="U285" s="3"/>
      <c r="V285" s="3"/>
      <c r="W285" s="3"/>
      <c r="X285" s="3"/>
      <c r="Y285" s="3"/>
      <c r="Z285" s="3"/>
      <c r="AA285" s="3"/>
      <c r="AB285" s="3"/>
      <c r="AC285" s="3"/>
      <c r="AD285" s="3"/>
      <c r="AE285" s="3"/>
      <c r="AF285" s="3"/>
    </row>
    <row r="286" spans="1:32" ht="15" x14ac:dyDescent="0.25">
      <c r="A286" s="3"/>
      <c r="B286" s="19" t="s">
        <v>1520</v>
      </c>
      <c r="C286" s="19"/>
      <c r="D286" s="19"/>
      <c r="E286" s="19"/>
      <c r="F286" s="19"/>
      <c r="G286" s="19"/>
      <c r="H286" s="19"/>
      <c r="I286" s="1722"/>
      <c r="J286" s="3"/>
      <c r="K286" s="3"/>
      <c r="L286" s="3"/>
      <c r="M286" s="3"/>
      <c r="N286" s="3"/>
      <c r="O286" s="3"/>
      <c r="P286" s="3"/>
      <c r="Q286" s="3"/>
      <c r="R286" s="3"/>
      <c r="S286" s="3"/>
      <c r="T286" s="3"/>
      <c r="U286" s="3"/>
      <c r="V286" s="3"/>
      <c r="W286" s="3"/>
      <c r="X286" s="3"/>
      <c r="Y286" s="3"/>
      <c r="Z286" s="3"/>
      <c r="AA286" s="3"/>
      <c r="AB286" s="3"/>
      <c r="AC286" s="3"/>
      <c r="AD286" s="3"/>
      <c r="AE286" s="3"/>
      <c r="AF286" s="3"/>
    </row>
    <row r="287" spans="1:32" ht="15" x14ac:dyDescent="0.25">
      <c r="A287" s="3"/>
      <c r="B287" s="19" t="s">
        <v>1521</v>
      </c>
      <c r="C287" s="19"/>
      <c r="D287" s="19"/>
      <c r="E287" s="19"/>
      <c r="F287" s="19"/>
      <c r="G287" s="19"/>
      <c r="H287" s="19"/>
      <c r="I287" s="19"/>
      <c r="J287" s="3"/>
      <c r="K287" s="3"/>
      <c r="L287" s="3"/>
      <c r="M287" s="3"/>
      <c r="N287" s="3"/>
      <c r="O287" s="3"/>
      <c r="P287" s="3"/>
      <c r="Q287" s="3"/>
      <c r="R287" s="3"/>
      <c r="S287" s="3"/>
      <c r="T287" s="3"/>
      <c r="U287" s="3"/>
      <c r="V287" s="3"/>
      <c r="W287" s="3"/>
      <c r="X287" s="3"/>
      <c r="Y287" s="3"/>
      <c r="Z287" s="3"/>
      <c r="AA287" s="3"/>
      <c r="AB287" s="3"/>
      <c r="AC287" s="3"/>
      <c r="AD287" s="3"/>
      <c r="AE287" s="3"/>
      <c r="AF287" s="3"/>
    </row>
    <row r="288" spans="1:32" ht="15" x14ac:dyDescent="0.25">
      <c r="A288" s="3"/>
      <c r="B288" s="161"/>
      <c r="C288" s="161"/>
      <c r="D288" s="161"/>
      <c r="E288" s="161"/>
      <c r="F288" s="161"/>
      <c r="G288" s="161"/>
      <c r="H288" s="161"/>
      <c r="I288" s="161"/>
      <c r="J288" s="3"/>
      <c r="K288" s="3"/>
      <c r="L288" s="3"/>
      <c r="M288" s="3"/>
      <c r="N288" s="3"/>
      <c r="O288" s="3"/>
      <c r="P288" s="3"/>
      <c r="Q288" s="3"/>
      <c r="R288" s="3"/>
      <c r="S288" s="3"/>
      <c r="T288" s="3"/>
      <c r="U288" s="3"/>
      <c r="V288" s="3"/>
      <c r="W288" s="3"/>
      <c r="X288" s="3"/>
      <c r="Y288" s="3"/>
      <c r="Z288" s="3"/>
      <c r="AA288" s="3"/>
      <c r="AB288" s="3"/>
      <c r="AC288" s="3"/>
      <c r="AD288" s="3"/>
      <c r="AE288" s="3"/>
      <c r="AF288" s="3"/>
    </row>
    <row r="289" spans="1:32" ht="15" x14ac:dyDescent="0.25">
      <c r="A289" s="3"/>
      <c r="B289" s="19"/>
      <c r="C289" s="161"/>
      <c r="D289" s="161"/>
      <c r="E289" s="161"/>
      <c r="F289" s="161"/>
      <c r="G289" s="161"/>
      <c r="H289" s="161"/>
      <c r="I289" s="161"/>
      <c r="J289" s="3"/>
      <c r="K289" s="3"/>
      <c r="L289" s="3"/>
      <c r="M289" s="3"/>
      <c r="N289" s="3"/>
      <c r="O289" s="3"/>
      <c r="P289" s="3"/>
      <c r="Q289" s="3"/>
      <c r="R289" s="3"/>
      <c r="S289" s="3"/>
      <c r="T289" s="3"/>
      <c r="U289" s="3"/>
      <c r="V289" s="3"/>
      <c r="W289" s="3"/>
      <c r="X289" s="3"/>
      <c r="Y289" s="3"/>
      <c r="Z289" s="3"/>
      <c r="AA289" s="3"/>
      <c r="AB289" s="3"/>
      <c r="AC289" s="3"/>
      <c r="AD289" s="3"/>
      <c r="AE289" s="3"/>
      <c r="AF289" s="3"/>
    </row>
    <row r="290" spans="1:32" ht="15" x14ac:dyDescent="0.25">
      <c r="A290" s="3"/>
      <c r="B290" s="19"/>
      <c r="C290" s="161"/>
      <c r="D290" s="161"/>
      <c r="E290" s="161"/>
      <c r="F290" s="161"/>
      <c r="G290" s="161"/>
      <c r="H290" s="161"/>
      <c r="I290" s="161"/>
      <c r="J290" s="3"/>
      <c r="K290" s="3"/>
      <c r="L290" s="3"/>
      <c r="M290" s="3"/>
      <c r="N290" s="3"/>
      <c r="O290" s="3"/>
      <c r="P290" s="3"/>
      <c r="Q290" s="3"/>
      <c r="R290" s="3"/>
      <c r="S290" s="3"/>
      <c r="T290" s="3"/>
      <c r="U290" s="3"/>
      <c r="V290" s="3"/>
      <c r="W290" s="3"/>
      <c r="X290" s="3"/>
      <c r="Y290" s="3"/>
      <c r="Z290" s="3"/>
      <c r="AA290" s="3"/>
      <c r="AB290" s="3"/>
      <c r="AC290" s="3"/>
      <c r="AD290" s="3"/>
      <c r="AE290" s="3"/>
      <c r="AF290" s="3"/>
    </row>
    <row r="291" spans="1:32" ht="15"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row>
    <row r="292" spans="1:32" ht="15" x14ac:dyDescent="0.25">
      <c r="A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row>
    <row r="293" spans="1:32" ht="15" x14ac:dyDescent="0.25">
      <c r="A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row>
    <row r="294" spans="1:32" ht="15" x14ac:dyDescent="0.25">
      <c r="A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row>
    <row r="295" spans="1:32" ht="15" x14ac:dyDescent="0.25">
      <c r="A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row>
    <row r="296" spans="1:32" ht="15" x14ac:dyDescent="0.25">
      <c r="A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row>
    <row r="297" spans="1:32" ht="15" x14ac:dyDescent="0.25">
      <c r="A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row>
    <row r="298" spans="1:32" ht="15" x14ac:dyDescent="0.25">
      <c r="A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row>
    <row r="299" spans="1:32" ht="15" x14ac:dyDescent="0.25">
      <c r="A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row>
    <row r="300" spans="1:32" ht="15" x14ac:dyDescent="0.25">
      <c r="A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row>
    <row r="301" spans="1:32" ht="15" x14ac:dyDescent="0.25">
      <c r="A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row>
    <row r="302" spans="1:32" ht="15" x14ac:dyDescent="0.25">
      <c r="A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row>
    <row r="303" spans="1:32" ht="15" x14ac:dyDescent="0.25">
      <c r="A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row>
    <row r="304" spans="1:32" ht="15" x14ac:dyDescent="0.25">
      <c r="A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row>
    <row r="305" spans="1:32" ht="15" x14ac:dyDescent="0.25">
      <c r="A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row>
    <row r="306" spans="1:32" ht="15" x14ac:dyDescent="0.25">
      <c r="A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row>
    <row r="307" spans="1:32" ht="15" x14ac:dyDescent="0.25">
      <c r="A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row>
    <row r="308" spans="1:32" ht="15" x14ac:dyDescent="0.25">
      <c r="A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row>
    <row r="309" spans="1:32" ht="15" x14ac:dyDescent="0.25">
      <c r="A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row>
    <row r="310" spans="1:32" ht="15" x14ac:dyDescent="0.25">
      <c r="A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row>
    <row r="311" spans="1:32" ht="15" x14ac:dyDescent="0.25">
      <c r="A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row>
    <row r="312" spans="1:32" ht="15"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row>
    <row r="313" spans="1:32" ht="15"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row>
    <row r="314" spans="1:32" ht="15"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row>
    <row r="315" spans="1:32" ht="15"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row>
    <row r="316" spans="1:32" ht="15"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row>
    <row r="317" spans="1:32" ht="15"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row>
    <row r="318" spans="1:32" ht="15"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row>
    <row r="319" spans="1:32" ht="15"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row>
    <row r="320" spans="1:32" ht="15"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row>
    <row r="321" spans="1:32" ht="15"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row>
    <row r="322" spans="1:32" ht="15"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row>
    <row r="323" spans="1:32" ht="15"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row>
    <row r="324" spans="1:32" ht="15"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row>
    <row r="325" spans="1:32" ht="15"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row>
    <row r="326" spans="1:32" ht="15"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row>
    <row r="327" spans="1:32" ht="15"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row>
    <row r="328" spans="1:32" ht="15"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row>
    <row r="329" spans="1:32" ht="15"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row>
    <row r="330" spans="1:32" ht="15"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2" ht="15"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row>
    <row r="332" spans="1:32" ht="15"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5"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row>
    <row r="334" spans="1:32" ht="15"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row>
    <row r="335" spans="1:32" ht="15"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row>
    <row r="336" spans="1:32" ht="15"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row>
    <row r="337" spans="1:32" ht="15"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row>
    <row r="338" spans="1:32" ht="15"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row>
    <row r="339" spans="1:32" ht="15"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row>
    <row r="340" spans="1:32" ht="15"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row>
    <row r="341" spans="1:32" ht="15"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row>
    <row r="342" spans="1:32" ht="15"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row>
    <row r="343" spans="1:32" ht="15"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2" ht="15"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row>
    <row r="345" spans="1:32" ht="15"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row>
    <row r="346" spans="1:32" ht="15"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row>
    <row r="347" spans="1:32" ht="15"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row>
    <row r="348" spans="1:32" ht="15"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row>
    <row r="349" spans="1:32" ht="15"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row>
    <row r="350" spans="1:32" ht="15"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row>
    <row r="351" spans="1:32" ht="15"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row>
    <row r="352" spans="1:32" ht="15"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row>
    <row r="353" spans="1:32" ht="15"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row>
    <row r="354" spans="1:32" ht="15"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row>
    <row r="355" spans="1:32" ht="15"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row>
    <row r="356" spans="1:32" ht="15"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row>
    <row r="357" spans="1:32" ht="15"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row>
    <row r="358" spans="1:32" ht="15"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row>
    <row r="359" spans="1:32" ht="15"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row>
    <row r="360" spans="1:32" ht="15"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row>
    <row r="361" spans="1:32" ht="15"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row>
    <row r="362" spans="1:32" ht="15"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row>
    <row r="363" spans="1:32" ht="15"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row>
    <row r="364" spans="1:32" ht="15"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row>
    <row r="365" spans="1:32" ht="15"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row>
    <row r="366" spans="1:32" ht="15"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row>
    <row r="367" spans="1:32" ht="15"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row>
    <row r="368" spans="1:32" ht="15"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row>
    <row r="369" spans="1:32" ht="15"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row>
    <row r="370" spans="1:32" ht="15"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row>
    <row r="371" spans="1:32" ht="15"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row>
    <row r="372" spans="1:32" ht="15"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row>
    <row r="373" spans="1:32" ht="15"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row>
    <row r="374" spans="1:32" ht="15"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row>
    <row r="375" spans="1:32" ht="15"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row>
    <row r="376" spans="1:32" ht="15"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row>
    <row r="377" spans="1:32" ht="15"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row>
    <row r="378" spans="1:32" ht="15"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row>
    <row r="379" spans="1:32" ht="15"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row>
    <row r="380" spans="1:32" ht="15"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row>
    <row r="381" spans="1:32" ht="15"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row>
    <row r="382" spans="1:32" ht="15"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row>
    <row r="383" spans="1:32" ht="15"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row>
    <row r="384" spans="1:32" ht="15"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row>
    <row r="385" spans="1:32" ht="15"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row>
    <row r="386" spans="1:32" ht="15"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row>
    <row r="387" spans="1:32" ht="15"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row>
    <row r="388" spans="1:32" ht="15"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row>
    <row r="389" spans="1:32" ht="15"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row>
    <row r="390" spans="1:32" ht="15"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row>
    <row r="391" spans="1:32" ht="15"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row>
    <row r="392" spans="1:32" ht="15"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row>
    <row r="393" spans="1:32" ht="15"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row>
    <row r="394" spans="1:32" ht="15"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row>
    <row r="395" spans="1:32" ht="15"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row>
    <row r="396" spans="1:32" ht="15"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row>
    <row r="397" spans="1:32" ht="15"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row>
    <row r="398" spans="1:32" ht="15"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row>
    <row r="399" spans="1:32" ht="15"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row>
    <row r="400" spans="1:32" ht="15"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row>
    <row r="401" spans="1:32" ht="15"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row>
    <row r="402" spans="1:32" ht="15"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row>
    <row r="403" spans="1:32" ht="15"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row>
    <row r="404" spans="1:32" ht="15"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row>
    <row r="405" spans="1:32" ht="15"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row>
    <row r="406" spans="1:32" ht="15"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row>
    <row r="407" spans="1:32" ht="15"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row>
    <row r="408" spans="1:32" ht="15"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row>
    <row r="409" spans="1:32" ht="15"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row>
    <row r="410" spans="1:32" ht="15"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row>
    <row r="411" spans="1:32" ht="15"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row>
    <row r="412" spans="1:32" ht="15"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row>
    <row r="413" spans="1:32" ht="15"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row>
    <row r="414" spans="1:32" ht="15"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row>
    <row r="415" spans="1:32" ht="15"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row>
    <row r="416" spans="1:32" ht="15"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row>
    <row r="417" spans="1:32" ht="15"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row>
    <row r="418" spans="1:32" ht="15"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row>
    <row r="419" spans="1:32" ht="15"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row>
    <row r="420" spans="1:32" ht="15"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row>
    <row r="421" spans="1:32" ht="15"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row>
    <row r="422" spans="1:32" ht="15"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row>
    <row r="423" spans="1:32" ht="15"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row>
    <row r="424" spans="1:32" ht="15"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row>
    <row r="425" spans="1:32" ht="15"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row>
    <row r="426" spans="1:32" ht="15"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row>
    <row r="427" spans="1:32" ht="15"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row>
    <row r="428" spans="1:32" ht="15"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row>
    <row r="429" spans="1:32" ht="15"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row>
    <row r="430" spans="1:32" ht="15"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row>
    <row r="431" spans="1:32" ht="15"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row>
    <row r="432" spans="1:32" ht="15"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row>
    <row r="433" spans="1:32" ht="15"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row>
    <row r="434" spans="1:32" ht="15"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row>
    <row r="435" spans="1:32" ht="15"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row>
    <row r="436" spans="1:32" ht="15"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row>
    <row r="437" spans="1:32" ht="15"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row>
    <row r="438" spans="1:32" ht="15"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row>
    <row r="439" spans="1:32" ht="15"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row>
    <row r="440" spans="1:32" ht="15"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row>
    <row r="441" spans="1:32" ht="15"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row>
    <row r="442" spans="1:32" ht="15"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row>
    <row r="443" spans="1:32" ht="15"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row>
    <row r="444" spans="1:32" ht="15"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row>
    <row r="445" spans="1:32" ht="15"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row>
    <row r="446" spans="1:32" ht="15"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row>
    <row r="447" spans="1:32" ht="15"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row>
    <row r="448" spans="1:32" ht="15"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row>
    <row r="449" spans="1:32" ht="15"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row>
    <row r="450" spans="1:32" ht="15"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row>
    <row r="451" spans="1:32" ht="15"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row>
    <row r="452" spans="1:32" ht="15"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row>
    <row r="453" spans="1:32" ht="15"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row>
    <row r="454" spans="1:32" ht="15"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row>
    <row r="455" spans="1:32" ht="15"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row>
    <row r="456" spans="1:32" ht="15"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row>
    <row r="457" spans="1:32" ht="15"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row>
    <row r="458" spans="1:32" ht="15"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row>
    <row r="459" spans="1:32" ht="15"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row>
    <row r="460" spans="1:32" ht="15"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row>
    <row r="461" spans="1:32" ht="15"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row>
    <row r="462" spans="1:32" ht="15"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row>
    <row r="463" spans="1:32" ht="15"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row>
    <row r="464" spans="1:32" ht="15"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row>
    <row r="465" spans="1:32" ht="15"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row>
    <row r="466" spans="1:32" ht="15"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row>
    <row r="467" spans="1:32" ht="15"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row>
    <row r="468" spans="1:32" ht="15"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row>
    <row r="469" spans="1:32" ht="15"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row>
    <row r="470" spans="1:32" ht="15"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row>
    <row r="471" spans="1:32" ht="15"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row>
    <row r="472" spans="1:32" ht="15"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row>
    <row r="473" spans="1:32" ht="15"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row>
    <row r="474" spans="1:32" ht="15"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row>
    <row r="475" spans="1:32" ht="15"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row>
    <row r="476" spans="1:32" ht="15"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row>
    <row r="477" spans="1:32" ht="15"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row>
    <row r="478" spans="1:32" ht="15"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row>
    <row r="479" spans="1:32" ht="15"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row>
    <row r="480" spans="1:32" ht="15"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row>
    <row r="481" spans="1:32" ht="15"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row>
    <row r="482" spans="1:32" ht="15"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row>
    <row r="483" spans="1:32" ht="15"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row>
    <row r="484" spans="1:32" ht="15"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row>
    <row r="485" spans="1:32" ht="15"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row>
    <row r="486" spans="1:32" ht="15"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row>
    <row r="487" spans="1:32" ht="15"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row>
    <row r="488" spans="1:32" ht="15"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row>
    <row r="489" spans="1:32" ht="15"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row>
    <row r="490" spans="1:32" ht="15"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row>
    <row r="491" spans="1:32" ht="15"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row>
    <row r="492" spans="1:32" ht="15"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row>
    <row r="493" spans="1:32" ht="15"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row>
    <row r="494" spans="1:32" ht="15"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row>
    <row r="495" spans="1:32" ht="15"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row>
    <row r="496" spans="1:32" ht="15"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row>
    <row r="497" spans="1:32" ht="15"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row>
    <row r="498" spans="1:32" ht="15"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row>
    <row r="499" spans="1:32" ht="15"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row>
    <row r="500" spans="1:32" ht="15"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row>
    <row r="501" spans="1:32" ht="15"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row>
    <row r="502" spans="1:32" ht="15"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row>
    <row r="503" spans="1:32" ht="15"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row>
    <row r="504" spans="1:32" ht="15"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row>
    <row r="505" spans="1:32" ht="15"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row>
    <row r="506" spans="1:32" ht="15"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row>
    <row r="507" spans="1:32" ht="15"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row>
    <row r="508" spans="1:32" ht="15"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row>
    <row r="509" spans="1:32" ht="15"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row>
    <row r="510" spans="1:32" ht="15"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row>
    <row r="511" spans="1:32" ht="15"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row>
    <row r="512" spans="1:32" ht="15"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row>
    <row r="513" spans="1:32" ht="15"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row>
    <row r="514" spans="1:32" ht="15"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row>
    <row r="515" spans="1:32" ht="15"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row>
    <row r="516" spans="1:32" ht="15"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row>
    <row r="517" spans="1:32" ht="15"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row>
    <row r="518" spans="1:32" ht="15"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row>
    <row r="519" spans="1:32" ht="15"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row>
    <row r="520" spans="1:32" ht="15"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row>
    <row r="521" spans="1:32" ht="15"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row>
    <row r="522" spans="1:32" ht="15"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row>
    <row r="523" spans="1:32" ht="15"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row>
    <row r="524" spans="1:32" ht="15"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row>
    <row r="525" spans="1:32" ht="15"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row>
    <row r="526" spans="1:32" ht="15"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row>
    <row r="527" spans="1:32" ht="15"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row>
    <row r="528" spans="1:32" ht="15"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row>
    <row r="529" spans="1:32" ht="15"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row>
    <row r="530" spans="1:32" ht="15"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row>
    <row r="531" spans="1:32" ht="15"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row>
    <row r="532" spans="1:32" ht="15"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row>
    <row r="533" spans="1:32" ht="15"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row>
    <row r="534" spans="1:32" ht="15"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row>
    <row r="535" spans="1:32" ht="15"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row>
    <row r="536" spans="1:32" ht="15"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row>
    <row r="537" spans="1:32" ht="15"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row>
    <row r="538" spans="1:32" ht="15"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row>
    <row r="539" spans="1:32" ht="15"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row>
    <row r="540" spans="1:32" ht="15"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row>
    <row r="541" spans="1:32" ht="15"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row>
    <row r="542" spans="1:32" ht="15"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row>
    <row r="543" spans="1:32" ht="15"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row>
    <row r="544" spans="1:32" ht="15"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row>
    <row r="545" spans="1:32" ht="15"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row>
    <row r="546" spans="1:32" ht="15"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row>
    <row r="547" spans="1:32" ht="15"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row>
    <row r="548" spans="1:32" ht="15"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row>
    <row r="549" spans="1:32" ht="15"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row>
    <row r="550" spans="1:32" ht="15"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row>
    <row r="551" spans="1:32" ht="15"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row>
    <row r="552" spans="1:32" ht="15"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row>
    <row r="553" spans="1:32" ht="15"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row>
    <row r="554" spans="1:32" ht="15"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row>
    <row r="555" spans="1:32" ht="15"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row>
    <row r="556" spans="1:32" ht="15"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row>
    <row r="557" spans="1:32" ht="15"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row>
    <row r="558" spans="1:32" ht="15"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row>
    <row r="559" spans="1:32" ht="15"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row>
    <row r="560" spans="1:32" ht="15"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row>
    <row r="561" spans="1:32" ht="15"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row>
    <row r="562" spans="1:32" ht="15"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row>
    <row r="563" spans="1:32" ht="15"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row>
    <row r="564" spans="1:32" ht="15"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row>
    <row r="565" spans="1:32" ht="15"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row>
    <row r="566" spans="1:32" ht="15"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row>
    <row r="567" spans="1:32" ht="15"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row>
    <row r="568" spans="1:32" ht="15"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row>
    <row r="569" spans="1:32" ht="15"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row>
    <row r="570" spans="1:32" ht="15"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row>
    <row r="571" spans="1:32" ht="15"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row>
    <row r="572" spans="1:32" ht="15"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row>
    <row r="573" spans="1:32" ht="15"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row>
    <row r="574" spans="1:32" ht="15"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row>
    <row r="575" spans="1:32" ht="15"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row>
    <row r="576" spans="1:32" ht="15"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row>
    <row r="577" spans="1:32" ht="15"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row>
    <row r="578" spans="1:32" ht="15"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row>
    <row r="579" spans="1:32" ht="15"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row>
    <row r="580" spans="1:32" ht="15"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row>
    <row r="581" spans="1:32" ht="15"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row>
    <row r="582" spans="1:32" ht="15"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row>
    <row r="583" spans="1:32" ht="15"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row>
    <row r="584" spans="1:32" ht="15"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row>
    <row r="585" spans="1:32" ht="15"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row>
    <row r="586" spans="1:32" ht="15"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row>
    <row r="587" spans="1:32" ht="15"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row>
    <row r="588" spans="1:32" ht="15"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row>
    <row r="589" spans="1:32" ht="15"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row>
    <row r="590" spans="1:32" ht="15"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row>
    <row r="591" spans="1:32" ht="15"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row>
    <row r="592" spans="1:32" ht="15"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row>
    <row r="593" spans="1:32" ht="15"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row>
    <row r="594" spans="1:32" ht="15"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row>
    <row r="595" spans="1:32" ht="15"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row>
    <row r="596" spans="1:32" ht="15"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row>
    <row r="597" spans="1:32" ht="15"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row>
    <row r="598" spans="1:32" ht="15"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row>
    <row r="599" spans="1:32" ht="15"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row>
    <row r="600" spans="1:32" ht="15"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row>
    <row r="601" spans="1:32" ht="15"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row>
    <row r="602" spans="1:32" ht="15"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row>
    <row r="603" spans="1:32" ht="15"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row>
    <row r="604" spans="1:32" ht="15"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row>
    <row r="605" spans="1:32" ht="15"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row>
    <row r="606" spans="1:32" ht="15"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row>
    <row r="607" spans="1:32" ht="15"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row>
    <row r="608" spans="1:32" ht="15"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row>
    <row r="609" spans="1:32" ht="15"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row>
    <row r="610" spans="1:32" ht="15"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row>
    <row r="611" spans="1:32" ht="15"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row>
    <row r="612" spans="1:32" ht="15"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row>
    <row r="613" spans="1:32" ht="15"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row>
    <row r="614" spans="1:32" ht="15"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row>
    <row r="615" spans="1:32" ht="15"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row>
    <row r="616" spans="1:32" ht="15"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row>
    <row r="617" spans="1:32" ht="15"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row>
    <row r="618" spans="1:32" ht="15"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row>
    <row r="619" spans="1:32" ht="15"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row>
    <row r="620" spans="1:32" ht="15"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row>
    <row r="621" spans="1:32" ht="15"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row>
    <row r="622" spans="1:32" ht="15"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row>
    <row r="623" spans="1:32" ht="15"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row>
    <row r="624" spans="1:32" ht="15"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row>
    <row r="625" spans="1:32" ht="15"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row>
    <row r="626" spans="1:32" ht="15"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row>
    <row r="627" spans="1:32" ht="15"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row>
    <row r="628" spans="1:32" ht="15"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row>
    <row r="629" spans="1:32" ht="15"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row>
    <row r="630" spans="1:32" ht="15"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row>
    <row r="631" spans="1:32" ht="15"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row>
    <row r="632" spans="1:32" ht="15"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row>
    <row r="633" spans="1:32" ht="15"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row>
    <row r="634" spans="1:32" ht="15"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row>
    <row r="635" spans="1:32" ht="15"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row>
    <row r="636" spans="1:32" ht="15"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row>
    <row r="637" spans="1:32" ht="15"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row>
    <row r="638" spans="1:32" ht="15"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row>
    <row r="639" spans="1:32" ht="15"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row>
    <row r="640" spans="1:32" ht="15"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row>
    <row r="641" spans="1:32" ht="15"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row>
    <row r="642" spans="1:32" ht="15"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row>
    <row r="643" spans="1:32" ht="15"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row>
    <row r="644" spans="1:32" ht="15"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row>
    <row r="645" spans="1:32" ht="15"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row>
    <row r="646" spans="1:32" ht="15"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row>
    <row r="647" spans="1:32" ht="15"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row>
    <row r="648" spans="1:32" ht="15"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row>
    <row r="649" spans="1:32" ht="15"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row>
    <row r="650" spans="1:32" ht="15"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row>
    <row r="651" spans="1:32" ht="15"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row>
    <row r="652" spans="1:32" ht="15"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row>
    <row r="653" spans="1:32" ht="15"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row>
    <row r="654" spans="1:32" ht="15"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row>
    <row r="655" spans="1:32" ht="15"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row>
    <row r="656" spans="1:32" ht="15"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row>
    <row r="657" spans="1:32" ht="15"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row>
    <row r="658" spans="1:32" ht="15"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row>
    <row r="659" spans="1:32" ht="15"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row>
    <row r="660" spans="1:32" ht="15"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row>
    <row r="661" spans="1:32" ht="15"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row>
    <row r="662" spans="1:32" ht="15"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row>
    <row r="663" spans="1:32" ht="15"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row>
    <row r="664" spans="1:32" ht="15"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row>
    <row r="665" spans="1:32" ht="15"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row>
    <row r="666" spans="1:32" ht="15"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row>
    <row r="667" spans="1:32" ht="15"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row>
    <row r="668" spans="1:32" ht="15"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row>
    <row r="669" spans="1:32" ht="15"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row>
    <row r="670" spans="1:32" ht="15"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row>
    <row r="671" spans="1:32" ht="15"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row>
    <row r="672" spans="1:32" ht="15"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row>
    <row r="673" spans="1:32" ht="15"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row>
    <row r="674" spans="1:32" ht="15"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row>
    <row r="675" spans="1:32" ht="15"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row>
    <row r="676" spans="1:32" ht="15"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row>
    <row r="677" spans="1:32" ht="15"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row>
    <row r="678" spans="1:32" ht="15"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row>
    <row r="679" spans="1:32" ht="15"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row>
    <row r="680" spans="1:32" ht="15"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row>
    <row r="681" spans="1:32" ht="15"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row>
    <row r="682" spans="1:32" ht="15"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row>
    <row r="683" spans="1:32" ht="15"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row>
    <row r="684" spans="1:32" ht="15"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row>
    <row r="685" spans="1:32" ht="15"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row>
    <row r="686" spans="1:32" ht="15"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row>
    <row r="687" spans="1:32" ht="15"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row>
    <row r="688" spans="1:32" ht="15"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row>
    <row r="689" spans="1:32" ht="15"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row>
    <row r="690" spans="1:32" ht="15"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row>
    <row r="691" spans="1:32" ht="15"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row>
    <row r="692" spans="1:32" ht="15"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row>
    <row r="693" spans="1:32" ht="15"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row>
    <row r="694" spans="1:32" ht="15"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row>
    <row r="695" spans="1:32" ht="15"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row>
    <row r="696" spans="1:32" ht="15"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row>
    <row r="697" spans="1:32" ht="15"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row>
    <row r="698" spans="1:32" ht="15"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row>
    <row r="699" spans="1:32" ht="15"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row>
    <row r="700" spans="1:32" ht="15"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row>
    <row r="701" spans="1:32" ht="15"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row>
    <row r="702" spans="1:32" ht="15"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row>
    <row r="703" spans="1:32" ht="15"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row>
    <row r="704" spans="1:32" ht="15"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row>
    <row r="705" spans="1:32" ht="15"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row>
    <row r="706" spans="1:32" ht="15"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row>
    <row r="707" spans="1:32" ht="15"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row>
    <row r="708" spans="1:32" ht="15"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row>
    <row r="709" spans="1:32" ht="15"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row>
    <row r="710" spans="1:32" ht="15"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row>
    <row r="711" spans="1:32" ht="15"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row>
    <row r="712" spans="1:32" ht="15"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row>
    <row r="713" spans="1:32" ht="15"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row>
    <row r="714" spans="1:32" ht="15"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row>
    <row r="715" spans="1:32" ht="15"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row>
    <row r="716" spans="1:32" ht="15"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row>
    <row r="717" spans="1:32" ht="15"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row>
    <row r="718" spans="1:32" ht="15"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row>
    <row r="719" spans="1:32" ht="15"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row>
    <row r="720" spans="1:32" ht="15"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row>
    <row r="721" spans="1:32" ht="15"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row>
    <row r="722" spans="1:32" ht="15"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row>
    <row r="723" spans="1:32" ht="15"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row>
    <row r="724" spans="1:32" ht="15"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row>
    <row r="725" spans="1:32" ht="15"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row>
    <row r="726" spans="1:32" ht="15"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row>
    <row r="727" spans="1:32" ht="15"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row>
    <row r="728" spans="1:32" ht="15"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row>
    <row r="729" spans="1:32" ht="15"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row>
    <row r="730" spans="1:32" ht="15"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row>
    <row r="731" spans="1:32" ht="15"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row>
    <row r="732" spans="1:32" ht="15"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row>
    <row r="733" spans="1:32" ht="15"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row>
    <row r="734" spans="1:32" ht="15"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row>
    <row r="735" spans="1:32" ht="15"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row>
    <row r="736" spans="1:32" ht="15"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row>
    <row r="737" spans="1:32" ht="15"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row>
    <row r="738" spans="1:32" ht="15"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row>
    <row r="739" spans="1:32" ht="15"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row>
    <row r="740" spans="1:32" ht="15"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row>
    <row r="741" spans="1:32" ht="15"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row>
    <row r="742" spans="1:32" ht="15"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row>
    <row r="743" spans="1:32" ht="15"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row>
    <row r="744" spans="1:32" ht="15"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row>
    <row r="745" spans="1:32" ht="15"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row>
    <row r="746" spans="1:32" ht="15"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row>
    <row r="747" spans="1:32" ht="15"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row>
    <row r="748" spans="1:32" ht="15"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row>
    <row r="749" spans="1:32" ht="15"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row>
    <row r="750" spans="1:32" ht="15"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row>
    <row r="751" spans="1:32" ht="15"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row>
    <row r="752" spans="1:32" ht="15"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row>
    <row r="753" spans="1:32" ht="15"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row>
    <row r="754" spans="1:32" ht="15"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row>
    <row r="755" spans="1:32" ht="15"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row>
    <row r="756" spans="1:32" ht="15"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row>
    <row r="757" spans="1:32" ht="15"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row>
    <row r="758" spans="1:32" ht="15"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row>
    <row r="759" spans="1:32" ht="15"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row>
    <row r="760" spans="1:32" ht="15"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row>
    <row r="761" spans="1:32" ht="15"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row>
    <row r="762" spans="1:32" ht="15"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row>
    <row r="763" spans="1:32" ht="15"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row>
    <row r="764" spans="1:32" ht="15"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row>
    <row r="765" spans="1:32" ht="15"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row>
    <row r="766" spans="1:32" ht="15"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row>
    <row r="767" spans="1:32" ht="15"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row>
    <row r="768" spans="1:32" ht="15"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row>
    <row r="769" spans="1:32" ht="15"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row>
    <row r="770" spans="1:32" ht="15"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row>
    <row r="771" spans="1:32" ht="15"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row>
    <row r="772" spans="1:32" ht="15"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row>
    <row r="773" spans="1:32" ht="15"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row>
    <row r="774" spans="1:32" ht="15"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row>
    <row r="775" spans="1:32" ht="15"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row>
    <row r="776" spans="1:32" ht="15"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row>
    <row r="777" spans="1:32" ht="15"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row>
    <row r="778" spans="1:32" ht="15"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row>
    <row r="779" spans="1:32" ht="15"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row>
    <row r="780" spans="1:32" ht="15"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row>
    <row r="781" spans="1:32" ht="15"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row>
    <row r="782" spans="1:32" ht="15"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row>
    <row r="783" spans="1:32" ht="15"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row>
    <row r="784" spans="1:32" ht="15"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row>
    <row r="785" spans="1:32" ht="15"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row>
    <row r="786" spans="1:32" ht="15"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row>
    <row r="787" spans="1:32" ht="15"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row>
    <row r="788" spans="1:32" ht="15"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row>
    <row r="789" spans="1:32" ht="15"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row>
    <row r="790" spans="1:32" ht="15"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row>
    <row r="791" spans="1:32" ht="15"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row>
    <row r="792" spans="1:32" ht="15"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row>
    <row r="793" spans="1:32" ht="15"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row>
    <row r="794" spans="1:32" ht="15"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row>
    <row r="795" spans="1:32" ht="15"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row>
    <row r="796" spans="1:32" ht="15"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row>
    <row r="797" spans="1:32" ht="15"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row>
    <row r="798" spans="1:32" ht="15"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row>
    <row r="799" spans="1:32" ht="15"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row>
    <row r="800" spans="1:32" ht="15"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row>
    <row r="801" spans="1:32" ht="15"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row>
    <row r="802" spans="1:32" ht="15"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row>
    <row r="803" spans="1:32" ht="15"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row>
    <row r="804" spans="1:32" ht="15"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row>
    <row r="805" spans="1:32" ht="15"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row>
    <row r="806" spans="1:32" ht="15"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row>
    <row r="807" spans="1:32" ht="15"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row>
    <row r="808" spans="1:32" ht="15"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row>
    <row r="809" spans="1:32" ht="15"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row>
    <row r="810" spans="1:32" ht="15"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row>
    <row r="811" spans="1:32" ht="15"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row>
    <row r="812" spans="1:32" ht="15"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row>
    <row r="813" spans="1:32" ht="15"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row>
    <row r="814" spans="1:32" ht="15"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row>
    <row r="815" spans="1:32" ht="15"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row>
    <row r="816" spans="1:32" ht="15"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row>
    <row r="817" spans="1:32" ht="15"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row>
    <row r="818" spans="1:32" ht="15"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row>
    <row r="819" spans="1:32" ht="15"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row>
    <row r="820" spans="1:32" ht="15"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row>
    <row r="821" spans="1:32" ht="15"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row>
    <row r="822" spans="1:32" ht="15"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row>
    <row r="823" spans="1:32" ht="15"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row>
    <row r="824" spans="1:32" ht="15"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row>
    <row r="825" spans="1:32" ht="15"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row>
    <row r="826" spans="1:32" ht="15"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row>
    <row r="827" spans="1:32" ht="15"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row>
    <row r="828" spans="1:32" ht="15"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row>
    <row r="829" spans="1:32" ht="15"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row>
    <row r="830" spans="1:32" ht="15"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row>
    <row r="831" spans="1:32" ht="15"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row>
    <row r="832" spans="1:32" ht="15"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row>
    <row r="833" spans="1:32" ht="15"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row>
    <row r="834" spans="1:32" ht="15"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row>
    <row r="835" spans="1:32" ht="15"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row>
    <row r="836" spans="1:32" ht="15"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row>
    <row r="837" spans="1:32" ht="15"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row>
    <row r="838" spans="1:32" ht="15"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row>
    <row r="839" spans="1:32" ht="15"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row>
    <row r="840" spans="1:32" ht="15"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row>
    <row r="841" spans="1:32" ht="15"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row>
    <row r="842" spans="1:32" ht="15"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row>
    <row r="843" spans="1:32" ht="15"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row>
    <row r="844" spans="1:32" ht="15"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row>
    <row r="845" spans="1:32" ht="15"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row>
    <row r="846" spans="1:32" ht="15"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row>
    <row r="847" spans="1:32" ht="15"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row>
    <row r="848" spans="1:32" ht="15"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row>
    <row r="849" spans="1:32" ht="15"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row>
    <row r="850" spans="1:32" ht="15"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row>
    <row r="851" spans="1:32" ht="15"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row>
    <row r="852" spans="1:32" ht="15"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row>
    <row r="853" spans="1:32" ht="15"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row>
    <row r="854" spans="1:32" ht="15"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row>
    <row r="855" spans="1:32" ht="15"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row>
    <row r="856" spans="1:32" ht="15"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row>
    <row r="857" spans="1:32" ht="15"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row>
    <row r="858" spans="1:32" ht="15"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row>
    <row r="859" spans="1:32" ht="15"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row>
    <row r="860" spans="1:32" ht="15"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row>
    <row r="861" spans="1:32" ht="15"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row>
    <row r="862" spans="1:32" ht="15"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row>
    <row r="863" spans="1:32" ht="15"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row>
    <row r="864" spans="1:32" ht="15"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row>
    <row r="865" spans="1:32" ht="15"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row>
    <row r="866" spans="1:32" ht="15"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row>
    <row r="867" spans="1:32" ht="15"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row>
    <row r="868" spans="1:32" ht="15"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row>
    <row r="869" spans="1:32" ht="15"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row>
    <row r="870" spans="1:32" ht="15"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row>
    <row r="871" spans="1:32" ht="15"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row>
    <row r="872" spans="1:32" ht="15"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row>
    <row r="873" spans="1:32" ht="15"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row>
    <row r="874" spans="1:32" ht="15"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row>
    <row r="875" spans="1:32" ht="15"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row>
    <row r="876" spans="1:32" ht="15"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row>
    <row r="877" spans="1:32" ht="15"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row>
    <row r="878" spans="1:32" ht="15"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row>
    <row r="879" spans="1:32" ht="15"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row>
    <row r="880" spans="1:32" ht="15"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row>
    <row r="881" spans="1:32" ht="15"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row>
    <row r="882" spans="1:32" ht="15"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row>
    <row r="883" spans="1:32" ht="15"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row>
    <row r="884" spans="1:32" ht="15"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row>
    <row r="885" spans="1:32" ht="15"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row>
    <row r="886" spans="1:32" ht="15"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row>
    <row r="887" spans="1:32" ht="15"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row>
    <row r="888" spans="1:32" ht="15"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row>
    <row r="889" spans="1:32" ht="15"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row>
    <row r="890" spans="1:32" ht="15"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row>
    <row r="891" spans="1:32" ht="15"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row>
    <row r="892" spans="1:32" ht="15"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row>
    <row r="893" spans="1:32" ht="15"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row>
    <row r="894" spans="1:32" ht="15"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row>
    <row r="895" spans="1:32" ht="15"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row>
    <row r="896" spans="1:32" ht="15"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row>
    <row r="897" spans="1:32" ht="15"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row>
    <row r="898" spans="1:32" ht="15"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row>
    <row r="899" spans="1:32" ht="15"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row>
    <row r="900" spans="1:32" ht="15"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row>
    <row r="901" spans="1:32" ht="15"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row>
    <row r="902" spans="1:32" ht="15"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row>
    <row r="903" spans="1:32" ht="15"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row>
    <row r="904" spans="1:32" ht="15"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row>
    <row r="905" spans="1:32" ht="15"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row>
    <row r="906" spans="1:32" ht="15"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row>
    <row r="907" spans="1:32" ht="15"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row>
    <row r="908" spans="1:32" ht="15"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row>
    <row r="909" spans="1:32" ht="15"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row>
    <row r="910" spans="1:32" ht="15"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row>
    <row r="911" spans="1:32" ht="15"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row>
    <row r="912" spans="1:32" ht="15"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row>
    <row r="913" spans="1:32" ht="15"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row>
    <row r="914" spans="1:32" ht="15"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row>
    <row r="915" spans="1:32" ht="15"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row>
    <row r="916" spans="1:32" ht="15"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row>
    <row r="917" spans="1:32" ht="15"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row>
    <row r="918" spans="1:32" ht="15"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row>
    <row r="919" spans="1:32" ht="15"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row>
    <row r="920" spans="1:32" ht="15"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row>
    <row r="921" spans="1:32" ht="15"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row>
    <row r="922" spans="1:32" ht="15"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row>
    <row r="923" spans="1:32" ht="15"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row>
    <row r="924" spans="1:32" ht="15"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row>
    <row r="925" spans="1:32" ht="15"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row>
    <row r="926" spans="1:32" ht="15"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row>
    <row r="927" spans="1:32" ht="15"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row>
    <row r="928" spans="1:32" ht="15"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row>
    <row r="929" spans="1:32" ht="15"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row>
    <row r="930" spans="1:32" ht="15"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row>
    <row r="931" spans="1:32" ht="15"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row>
    <row r="932" spans="1:32" ht="15"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row>
    <row r="933" spans="1:32" ht="15"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row>
    <row r="934" spans="1:32" ht="15"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row>
    <row r="935" spans="1:32" ht="15"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row>
    <row r="936" spans="1:32" ht="15"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row>
    <row r="937" spans="1:32" ht="15"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row>
    <row r="938" spans="1:32" ht="15"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row>
    <row r="939" spans="1:32" ht="15"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row>
    <row r="940" spans="1:32" ht="15"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row>
    <row r="941" spans="1:32" ht="15"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row>
    <row r="942" spans="1:32" ht="15"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row>
    <row r="943" spans="1:32" ht="15"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row>
    <row r="944" spans="1:32" ht="15"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row>
    <row r="945" spans="1:32" ht="15"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row>
    <row r="946" spans="1:32" ht="15"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row>
    <row r="947" spans="1:32" ht="15"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row>
    <row r="948" spans="1:32" ht="15"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row>
    <row r="949" spans="1:32" ht="15"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row>
    <row r="950" spans="1:32" ht="15"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row>
    <row r="951" spans="1:32" ht="15"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row>
    <row r="952" spans="1:32" ht="15"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row>
    <row r="953" spans="1:32" ht="15"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row>
    <row r="954" spans="1:32" ht="15"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row>
    <row r="955" spans="1:32" ht="15"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row>
    <row r="956" spans="1:32" ht="15"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row>
    <row r="957" spans="1:32" ht="15"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row>
    <row r="958" spans="1:32" ht="15"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row>
    <row r="959" spans="1:32" ht="15"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row>
    <row r="960" spans="1:32" ht="15"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row>
    <row r="961" spans="1:32" ht="15"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row>
    <row r="962" spans="1:32" ht="15"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row>
    <row r="963" spans="1:32" ht="15"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row>
    <row r="964" spans="1:32" ht="15"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row>
    <row r="965" spans="1:32" ht="15"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row>
    <row r="966" spans="1:32" ht="15"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row>
    <row r="967" spans="1:32" ht="15"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row>
    <row r="968" spans="1:32" ht="15"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row>
    <row r="969" spans="1:32" ht="15"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row>
    <row r="970" spans="1:32" ht="15"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row>
    <row r="971" spans="1:32" ht="15"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row>
    <row r="972" spans="1:32" ht="15"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row>
    <row r="973" spans="1:32" ht="15"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row>
    <row r="974" spans="1:32" ht="15"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row>
    <row r="975" spans="1:32" ht="15"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row>
    <row r="976" spans="1:32" ht="15"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row>
    <row r="977" spans="1:32" ht="15"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row>
    <row r="978" spans="1:32" ht="15"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row>
    <row r="979" spans="1:32" ht="15"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row>
    <row r="980" spans="1:32" ht="15"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row>
    <row r="981" spans="1:32" ht="15"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row>
    <row r="982" spans="1:32" ht="15"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row>
    <row r="983" spans="1:32" ht="15"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row>
    <row r="984" spans="1:32" ht="15"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row>
    <row r="985" spans="1:32" ht="15"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row>
    <row r="986" spans="1:32" ht="15"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row>
    <row r="987" spans="1:32" ht="15"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row>
    <row r="988" spans="1:32" ht="15"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row>
    <row r="989" spans="1:32" ht="15"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row>
    <row r="990" spans="1:32" ht="15"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row>
    <row r="991" spans="1:32" ht="15"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row>
    <row r="992" spans="1:32" ht="15"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row>
    <row r="993" spans="1:32" ht="15"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row>
    <row r="994" spans="1:32" ht="15"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row>
    <row r="995" spans="1:32" ht="15"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row>
    <row r="996" spans="1:32" ht="15"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row>
    <row r="997" spans="1:32" ht="15"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row>
    <row r="998" spans="1:32" ht="15"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row>
    <row r="999" spans="1:32" ht="15"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row>
    <row r="1000" spans="1:32" ht="15"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row>
    <row r="1001" spans="1:32" ht="15" x14ac:dyDescent="0.2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row>
    <row r="1002" spans="1:32" ht="15" x14ac:dyDescent="0.25">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row>
    <row r="1003" spans="1:32" ht="15" x14ac:dyDescent="0.25">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row>
    <row r="1004" spans="1:32" ht="15" x14ac:dyDescent="0.25">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row>
    <row r="1005" spans="1:32" ht="15" x14ac:dyDescent="0.25">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row>
    <row r="1006" spans="1:32" ht="15" x14ac:dyDescent="0.25">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row>
    <row r="1007" spans="1:32" ht="15" x14ac:dyDescent="0.25">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row>
    <row r="1008" spans="1:32" ht="15" x14ac:dyDescent="0.25">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row>
    <row r="1009" spans="1:32" ht="15" x14ac:dyDescent="0.25">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row>
    <row r="1010" spans="1:32" ht="15" x14ac:dyDescent="0.25">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row>
    <row r="1011" spans="1:32" ht="15" x14ac:dyDescent="0.25">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row>
    <row r="1012" spans="1:32" ht="15" x14ac:dyDescent="0.25">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row>
    <row r="1013" spans="1:32" ht="15" x14ac:dyDescent="0.25">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row>
    <row r="1014" spans="1:32" ht="15" x14ac:dyDescent="0.25">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row>
    <row r="1015" spans="1:32" ht="15" x14ac:dyDescent="0.25">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row>
    <row r="1016" spans="1:32" ht="15" x14ac:dyDescent="0.25">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row>
    <row r="1017" spans="1:32" ht="15" x14ac:dyDescent="0.25">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row>
    <row r="1018" spans="1:32" ht="15" x14ac:dyDescent="0.25">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row>
    <row r="1019" spans="1:32" ht="15" x14ac:dyDescent="0.25">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row>
    <row r="1020" spans="1:32" ht="15" x14ac:dyDescent="0.25">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row>
    <row r="1021" spans="1:32" ht="15" x14ac:dyDescent="0.25">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row>
    <row r="1022" spans="1:32" ht="15" x14ac:dyDescent="0.25">
      <c r="A1022" s="3"/>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row>
    <row r="1023" spans="1:32" ht="15" x14ac:dyDescent="0.25">
      <c r="A1023" s="3"/>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row>
    <row r="1024" spans="1:32" ht="15" x14ac:dyDescent="0.25">
      <c r="A1024" s="3"/>
      <c r="B1024" s="3"/>
      <c r="C1024" s="3"/>
      <c r="D1024" s="3"/>
      <c r="E1024" s="3"/>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row>
    <row r="1025" spans="1:32" ht="15" x14ac:dyDescent="0.25">
      <c r="A1025" s="3"/>
      <c r="B1025" s="3"/>
      <c r="C1025" s="3"/>
      <c r="D1025" s="3"/>
      <c r="E1025" s="3"/>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row>
    <row r="1026" spans="1:32" ht="15" x14ac:dyDescent="0.25">
      <c r="A1026" s="3"/>
      <c r="B1026" s="3"/>
      <c r="C1026" s="3"/>
      <c r="D1026" s="3"/>
      <c r="E1026" s="3"/>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row>
    <row r="1027" spans="1:32" ht="15" x14ac:dyDescent="0.25">
      <c r="A1027" s="3"/>
      <c r="B1027" s="3"/>
      <c r="C1027" s="3"/>
      <c r="D1027" s="3"/>
      <c r="E1027" s="3"/>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row>
    <row r="1028" spans="1:32" ht="15" x14ac:dyDescent="0.25">
      <c r="A1028" s="3"/>
      <c r="B1028" s="3"/>
      <c r="C1028" s="3"/>
      <c r="D1028" s="3"/>
      <c r="E1028" s="3"/>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row>
    <row r="1029" spans="1:32" ht="15" x14ac:dyDescent="0.25">
      <c r="A1029" s="3"/>
      <c r="B1029" s="3"/>
      <c r="C1029" s="3"/>
      <c r="D1029" s="3"/>
      <c r="E1029" s="3"/>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row>
    <row r="1030" spans="1:32" ht="15" x14ac:dyDescent="0.25">
      <c r="A1030" s="3"/>
      <c r="B1030" s="3"/>
      <c r="C1030" s="3"/>
      <c r="D1030" s="3"/>
      <c r="E1030" s="3"/>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row>
    <row r="1031" spans="1:32" ht="15" x14ac:dyDescent="0.25">
      <c r="A1031" s="3"/>
      <c r="B1031" s="3"/>
      <c r="C1031" s="3"/>
      <c r="D1031" s="3"/>
      <c r="E1031" s="3"/>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row>
    <row r="1032" spans="1:32" ht="15" x14ac:dyDescent="0.25">
      <c r="A1032" s="3"/>
      <c r="B1032" s="3"/>
      <c r="C1032" s="3"/>
      <c r="D1032" s="3"/>
      <c r="E1032" s="3"/>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row>
    <row r="1033" spans="1:32" ht="15" x14ac:dyDescent="0.25">
      <c r="A1033" s="3"/>
      <c r="B1033" s="3"/>
      <c r="C1033" s="3"/>
      <c r="D1033" s="3"/>
      <c r="E1033" s="3"/>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row>
    <row r="1034" spans="1:32" ht="15" x14ac:dyDescent="0.25">
      <c r="A1034" s="3"/>
      <c r="B1034" s="3"/>
      <c r="C1034" s="3"/>
      <c r="D1034" s="3"/>
      <c r="E1034" s="3"/>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row>
    <row r="1035" spans="1:32" ht="15" x14ac:dyDescent="0.25">
      <c r="A1035" s="3"/>
      <c r="B1035" s="3"/>
      <c r="C1035" s="3"/>
      <c r="D1035" s="3"/>
      <c r="E1035" s="3"/>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row>
    <row r="1036" spans="1:32" ht="15" x14ac:dyDescent="0.25">
      <c r="A1036" s="3"/>
      <c r="B1036" s="3"/>
      <c r="C1036" s="3"/>
      <c r="D1036" s="3"/>
      <c r="E1036" s="3"/>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row>
    <row r="1037" spans="1:32" ht="15" x14ac:dyDescent="0.25">
      <c r="A1037" s="3"/>
      <c r="B1037" s="3"/>
      <c r="C1037" s="3"/>
      <c r="D1037" s="3"/>
      <c r="E1037" s="3"/>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row>
    <row r="1038" spans="1:32" ht="15" x14ac:dyDescent="0.25">
      <c r="A1038" s="3"/>
      <c r="B1038" s="3"/>
      <c r="C1038" s="3"/>
      <c r="D1038" s="3"/>
      <c r="E1038" s="3"/>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row>
    <row r="1039" spans="1:32" ht="15" x14ac:dyDescent="0.25">
      <c r="A1039" s="3"/>
      <c r="B1039" s="3"/>
      <c r="C1039" s="3"/>
      <c r="D1039" s="3"/>
      <c r="E1039" s="3"/>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row>
    <row r="1040" spans="1:32" ht="15" x14ac:dyDescent="0.25">
      <c r="A1040" s="3"/>
      <c r="B1040" s="3"/>
      <c r="C1040" s="3"/>
      <c r="D1040" s="3"/>
      <c r="E1040" s="3"/>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row>
    <row r="1041" spans="1:32" ht="15" x14ac:dyDescent="0.25">
      <c r="A1041" s="3"/>
      <c r="B1041" s="3"/>
      <c r="C1041" s="3"/>
      <c r="D1041" s="3"/>
      <c r="E1041" s="3"/>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row>
    <row r="1042" spans="1:32" ht="15" x14ac:dyDescent="0.25">
      <c r="A1042" s="3"/>
      <c r="B1042" s="3"/>
      <c r="C1042" s="3"/>
      <c r="D1042" s="3"/>
      <c r="E1042" s="3"/>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row>
    <row r="1043" spans="1:32" ht="15" x14ac:dyDescent="0.25">
      <c r="A1043" s="3"/>
      <c r="B1043" s="3"/>
      <c r="C1043" s="3"/>
      <c r="D1043" s="3"/>
      <c r="E1043" s="3"/>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row>
    <row r="1044" spans="1:32" ht="15" x14ac:dyDescent="0.25">
      <c r="A1044" s="3"/>
      <c r="B1044" s="3"/>
      <c r="C1044" s="3"/>
      <c r="D1044" s="3"/>
      <c r="E1044" s="3"/>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row>
    <row r="1045" spans="1:32" ht="15" x14ac:dyDescent="0.25">
      <c r="A1045" s="3"/>
      <c r="B1045" s="3"/>
      <c r="C1045" s="3"/>
      <c r="D1045" s="3"/>
      <c r="E1045" s="3"/>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row>
    <row r="1046" spans="1:32" ht="15" x14ac:dyDescent="0.25">
      <c r="A1046" s="3"/>
      <c r="B1046" s="3"/>
      <c r="C1046" s="3"/>
      <c r="D1046" s="3"/>
      <c r="E1046" s="3"/>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row>
    <row r="1047" spans="1:32" ht="15" x14ac:dyDescent="0.25">
      <c r="A1047" s="3"/>
      <c r="B1047" s="3"/>
      <c r="C1047" s="3"/>
      <c r="D1047" s="3"/>
      <c r="E1047" s="3"/>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row>
    <row r="1048" spans="1:32" ht="15" x14ac:dyDescent="0.25">
      <c r="A1048" s="3"/>
      <c r="B1048" s="3"/>
      <c r="C1048" s="3"/>
      <c r="D1048" s="3"/>
      <c r="E1048" s="3"/>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row>
    <row r="1049" spans="1:32" ht="15" x14ac:dyDescent="0.25">
      <c r="A1049" s="3"/>
      <c r="B1049" s="3"/>
      <c r="C1049" s="3"/>
      <c r="D1049" s="3"/>
      <c r="E1049" s="3"/>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row>
    <row r="1050" spans="1:32" ht="15" x14ac:dyDescent="0.25">
      <c r="A1050" s="3"/>
      <c r="B1050" s="3"/>
      <c r="C1050" s="3"/>
      <c r="D1050" s="3"/>
      <c r="E1050" s="3"/>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row>
    <row r="1051" spans="1:32" ht="15" x14ac:dyDescent="0.25">
      <c r="A1051" s="3"/>
      <c r="B1051" s="3"/>
      <c r="C1051" s="3"/>
      <c r="D1051" s="3"/>
      <c r="E1051" s="3"/>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row>
    <row r="1052" spans="1:32" ht="15" x14ac:dyDescent="0.25">
      <c r="A1052" s="3"/>
      <c r="B1052" s="3"/>
      <c r="C1052" s="3"/>
      <c r="D1052" s="3"/>
      <c r="E1052" s="3"/>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row>
    <row r="1053" spans="1:32" ht="15" x14ac:dyDescent="0.25">
      <c r="A1053" s="3"/>
      <c r="B1053" s="3"/>
      <c r="C1053" s="3"/>
      <c r="D1053" s="3"/>
      <c r="E1053" s="3"/>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row>
    <row r="1054" spans="1:32" ht="15" x14ac:dyDescent="0.25">
      <c r="A1054" s="3"/>
      <c r="B1054" s="3"/>
      <c r="C1054" s="3"/>
      <c r="D1054" s="3"/>
      <c r="E1054" s="3"/>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row>
    <row r="1055" spans="1:32" ht="15" x14ac:dyDescent="0.25">
      <c r="A1055" s="3"/>
      <c r="B1055" s="3"/>
      <c r="C1055" s="3"/>
      <c r="D1055" s="3"/>
      <c r="E1055" s="3"/>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row>
    <row r="1056" spans="1:32" ht="15" x14ac:dyDescent="0.25">
      <c r="A1056" s="3"/>
      <c r="B1056" s="3"/>
      <c r="C1056" s="3"/>
      <c r="D1056" s="3"/>
      <c r="E1056" s="3"/>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row>
    <row r="1057" spans="1:32" ht="15" x14ac:dyDescent="0.25">
      <c r="A1057" s="3"/>
      <c r="B1057" s="3"/>
      <c r="C1057" s="3"/>
      <c r="D1057" s="3"/>
      <c r="E1057" s="3"/>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row>
    <row r="1058" spans="1:32" ht="15" x14ac:dyDescent="0.25">
      <c r="A1058" s="3"/>
      <c r="B1058" s="3"/>
      <c r="C1058" s="3"/>
      <c r="D1058" s="3"/>
      <c r="E1058" s="3"/>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row>
    <row r="1059" spans="1:32" ht="15" x14ac:dyDescent="0.25">
      <c r="A1059" s="3"/>
      <c r="B1059" s="3"/>
      <c r="C1059" s="3"/>
      <c r="D1059" s="3"/>
      <c r="E1059" s="3"/>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row>
    <row r="1060" spans="1:32" ht="15" x14ac:dyDescent="0.25">
      <c r="A1060" s="3"/>
      <c r="B1060" s="3"/>
      <c r="C1060" s="3"/>
      <c r="D1060" s="3"/>
      <c r="E1060" s="3"/>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row>
    <row r="1061" spans="1:32" ht="15" x14ac:dyDescent="0.25">
      <c r="A1061" s="3"/>
      <c r="B1061" s="3"/>
      <c r="C1061" s="3"/>
      <c r="D1061" s="3"/>
      <c r="E1061" s="3"/>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row>
    <row r="1062" spans="1:32" ht="15" x14ac:dyDescent="0.25">
      <c r="A1062" s="3"/>
      <c r="B1062" s="3"/>
      <c r="C1062" s="3"/>
      <c r="D1062" s="3"/>
      <c r="E1062" s="3"/>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row>
    <row r="1063" spans="1:32" ht="15" x14ac:dyDescent="0.25">
      <c r="A1063" s="3"/>
      <c r="B1063" s="3"/>
      <c r="C1063" s="3"/>
      <c r="D1063" s="3"/>
      <c r="E1063" s="3"/>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row>
    <row r="1064" spans="1:32" ht="15" x14ac:dyDescent="0.25">
      <c r="A1064" s="3"/>
      <c r="B1064" s="3"/>
      <c r="C1064" s="3"/>
      <c r="D1064" s="3"/>
      <c r="E1064" s="3"/>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row>
    <row r="1065" spans="1:32" ht="15" x14ac:dyDescent="0.25">
      <c r="A1065" s="3"/>
      <c r="B1065" s="3"/>
      <c r="C1065" s="3"/>
      <c r="D1065" s="3"/>
      <c r="E1065" s="3"/>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row>
    <row r="1066" spans="1:32" ht="15" x14ac:dyDescent="0.25">
      <c r="A1066" s="3"/>
      <c r="B1066" s="3"/>
      <c r="C1066" s="3"/>
      <c r="D1066" s="3"/>
      <c r="E1066" s="3"/>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row>
    <row r="1067" spans="1:32" ht="15" x14ac:dyDescent="0.25">
      <c r="A1067" s="3"/>
      <c r="B1067" s="3"/>
      <c r="C1067" s="3"/>
      <c r="D1067" s="3"/>
      <c r="E1067" s="3"/>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row>
    <row r="1068" spans="1:32" ht="15" x14ac:dyDescent="0.25">
      <c r="A1068" s="3"/>
      <c r="B1068" s="3"/>
      <c r="C1068" s="3"/>
      <c r="D1068" s="3"/>
      <c r="E1068" s="3"/>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row>
    <row r="1069" spans="1:32" ht="15" x14ac:dyDescent="0.25">
      <c r="A1069" s="3"/>
      <c r="B1069" s="3"/>
      <c r="C1069" s="3"/>
      <c r="D1069" s="3"/>
      <c r="E1069" s="3"/>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row>
    <row r="1070" spans="1:32" ht="15" x14ac:dyDescent="0.25">
      <c r="A1070" s="3"/>
      <c r="B1070" s="3"/>
      <c r="C1070" s="3"/>
      <c r="D1070" s="3"/>
      <c r="E1070" s="3"/>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row>
    <row r="1071" spans="1:32" ht="15" x14ac:dyDescent="0.25">
      <c r="A1071" s="3"/>
      <c r="B1071" s="3"/>
      <c r="C1071" s="3"/>
      <c r="D1071" s="3"/>
      <c r="E1071" s="3"/>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row>
    <row r="1072" spans="1:32" ht="15" x14ac:dyDescent="0.25">
      <c r="A1072" s="3"/>
      <c r="B1072" s="3"/>
      <c r="C1072" s="3"/>
      <c r="D1072" s="3"/>
      <c r="E1072" s="3"/>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row>
    <row r="1073" spans="1:32" ht="15" x14ac:dyDescent="0.25">
      <c r="A1073" s="3"/>
      <c r="B1073" s="3"/>
      <c r="C1073" s="3"/>
      <c r="D1073" s="3"/>
      <c r="E1073" s="3"/>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row>
    <row r="1074" spans="1:32" ht="15" x14ac:dyDescent="0.25">
      <c r="A1074" s="3"/>
      <c r="B1074" s="3"/>
      <c r="C1074" s="3"/>
      <c r="D1074" s="3"/>
      <c r="E1074" s="3"/>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row>
    <row r="1075" spans="1:32" ht="15" x14ac:dyDescent="0.25">
      <c r="A1075" s="3"/>
      <c r="B1075" s="3"/>
      <c r="C1075" s="3"/>
      <c r="D1075" s="3"/>
      <c r="E1075" s="3"/>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row>
    <row r="1076" spans="1:32" ht="15" x14ac:dyDescent="0.25">
      <c r="A1076" s="3"/>
      <c r="B1076" s="3"/>
      <c r="C1076" s="3"/>
      <c r="D1076" s="3"/>
      <c r="E1076" s="3"/>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row>
    <row r="1077" spans="1:32" ht="15" x14ac:dyDescent="0.25">
      <c r="A1077" s="3"/>
      <c r="B1077" s="3"/>
      <c r="C1077" s="3"/>
      <c r="D1077" s="3"/>
      <c r="E1077" s="3"/>
      <c r="F1077" s="3"/>
      <c r="G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row>
    <row r="1078" spans="1:32" ht="15" x14ac:dyDescent="0.25">
      <c r="A1078" s="3"/>
      <c r="B1078" s="3"/>
      <c r="C1078" s="3"/>
      <c r="D1078" s="3"/>
      <c r="E1078" s="3"/>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row>
    <row r="1079" spans="1:32" ht="15" x14ac:dyDescent="0.25">
      <c r="A1079" s="3"/>
      <c r="B1079" s="3"/>
      <c r="C1079" s="3"/>
      <c r="D1079" s="3"/>
      <c r="E1079" s="3"/>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row>
    <row r="1080" spans="1:32" ht="15" x14ac:dyDescent="0.25">
      <c r="A1080" s="3"/>
      <c r="B1080" s="3"/>
      <c r="C1080" s="3"/>
      <c r="D1080" s="3"/>
      <c r="E1080" s="3"/>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row>
    <row r="1081" spans="1:32" ht="15" x14ac:dyDescent="0.25">
      <c r="A1081" s="3"/>
      <c r="B1081" s="3"/>
      <c r="C1081" s="3"/>
      <c r="D1081" s="3"/>
      <c r="E1081" s="3"/>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row>
    <row r="1082" spans="1:32" ht="15" x14ac:dyDescent="0.25">
      <c r="A1082" s="3"/>
      <c r="B1082" s="3"/>
      <c r="C1082" s="3"/>
      <c r="D1082" s="3"/>
      <c r="E1082" s="3"/>
      <c r="F1082" s="3"/>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row>
    <row r="1083" spans="1:32" ht="15" x14ac:dyDescent="0.25">
      <c r="A1083" s="3"/>
      <c r="B1083" s="3"/>
      <c r="C1083" s="3"/>
      <c r="D1083" s="3"/>
      <c r="E1083" s="3"/>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row>
    <row r="1084" spans="1:32" ht="15" x14ac:dyDescent="0.25">
      <c r="A1084" s="3"/>
      <c r="B1084" s="3"/>
      <c r="C1084" s="3"/>
      <c r="D1084" s="3"/>
      <c r="E1084" s="3"/>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row>
    <row r="1085" spans="1:32" ht="15" x14ac:dyDescent="0.25">
      <c r="A1085" s="3"/>
      <c r="B1085" s="3"/>
      <c r="C1085" s="3"/>
      <c r="D1085" s="3"/>
      <c r="E1085" s="3"/>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row>
    <row r="1086" spans="1:32" ht="15" x14ac:dyDescent="0.25">
      <c r="A1086" s="3"/>
      <c r="B1086" s="3"/>
      <c r="C1086" s="3"/>
      <c r="D1086" s="3"/>
      <c r="E1086" s="3"/>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row>
    <row r="1087" spans="1:32" ht="15" x14ac:dyDescent="0.25">
      <c r="A1087" s="3"/>
      <c r="B1087" s="3"/>
      <c r="C1087" s="3"/>
      <c r="D1087" s="3"/>
      <c r="E1087" s="3"/>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row>
    <row r="1088" spans="1:32" ht="15" x14ac:dyDescent="0.25">
      <c r="A1088" s="3"/>
      <c r="B1088" s="3"/>
      <c r="C1088" s="3"/>
      <c r="D1088" s="3"/>
      <c r="E1088" s="3"/>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row>
    <row r="1089" spans="1:32" ht="15" x14ac:dyDescent="0.25">
      <c r="A1089" s="3"/>
      <c r="B1089" s="3"/>
      <c r="C1089" s="3"/>
      <c r="D1089" s="3"/>
      <c r="E1089" s="3"/>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row>
    <row r="1090" spans="1:32" ht="15" x14ac:dyDescent="0.25">
      <c r="A1090" s="3"/>
      <c r="B1090" s="3"/>
      <c r="C1090" s="3"/>
      <c r="D1090" s="3"/>
      <c r="E1090" s="3"/>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row>
    <row r="1091" spans="1:32" ht="15" x14ac:dyDescent="0.25">
      <c r="A1091" s="3"/>
      <c r="B1091" s="3"/>
      <c r="C1091" s="3"/>
      <c r="D1091" s="3"/>
      <c r="E1091" s="3"/>
      <c r="F1091" s="3"/>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row>
    <row r="1092" spans="1:32" ht="15" x14ac:dyDescent="0.25">
      <c r="A1092" s="3"/>
      <c r="B1092" s="3"/>
      <c r="C1092" s="3"/>
      <c r="D1092" s="3"/>
      <c r="E1092" s="3"/>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row>
    <row r="1093" spans="1:32" ht="15" x14ac:dyDescent="0.25">
      <c r="A1093" s="3"/>
      <c r="B1093" s="3"/>
      <c r="C1093" s="3"/>
      <c r="D1093" s="3"/>
      <c r="E1093" s="3"/>
      <c r="F1093" s="3"/>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row>
    <row r="1094" spans="1:32" ht="15" x14ac:dyDescent="0.25">
      <c r="A1094" s="3"/>
      <c r="B1094" s="3"/>
      <c r="C1094" s="3"/>
      <c r="D1094" s="3"/>
      <c r="E1094" s="3"/>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row>
    <row r="1095" spans="1:32" ht="15" x14ac:dyDescent="0.25">
      <c r="A1095" s="3"/>
      <c r="B1095" s="3"/>
      <c r="C1095" s="3"/>
      <c r="D1095" s="3"/>
      <c r="E1095" s="3"/>
      <c r="F1095" s="3"/>
      <c r="G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row>
    <row r="1096" spans="1:32" ht="15" x14ac:dyDescent="0.25">
      <c r="A1096" s="3"/>
      <c r="B1096" s="3"/>
      <c r="C1096" s="3"/>
      <c r="D1096" s="3"/>
      <c r="E1096" s="3"/>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row>
    <row r="1097" spans="1:32" ht="15" x14ac:dyDescent="0.25">
      <c r="A1097" s="3"/>
      <c r="B1097" s="3"/>
      <c r="C1097" s="3"/>
      <c r="D1097" s="3"/>
      <c r="E1097" s="3"/>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row>
    <row r="1098" spans="1:32" ht="15" x14ac:dyDescent="0.25">
      <c r="A1098" s="3"/>
      <c r="B1098" s="3"/>
      <c r="C1098" s="3"/>
      <c r="D1098" s="3"/>
      <c r="E1098" s="3"/>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row>
    <row r="1099" spans="1:32" ht="15" x14ac:dyDescent="0.25">
      <c r="A1099" s="3"/>
      <c r="B1099" s="3"/>
      <c r="C1099" s="3"/>
      <c r="D1099" s="3"/>
      <c r="E1099" s="3"/>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row>
    <row r="1100" spans="1:32" ht="15" x14ac:dyDescent="0.25">
      <c r="A1100" s="3"/>
      <c r="B1100" s="3"/>
      <c r="C1100" s="3"/>
      <c r="D1100" s="3"/>
      <c r="E1100" s="3"/>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row>
    <row r="1101" spans="1:32" ht="15" x14ac:dyDescent="0.25">
      <c r="A1101" s="3"/>
      <c r="B1101" s="3"/>
      <c r="C1101" s="3"/>
      <c r="D1101" s="3"/>
      <c r="E1101" s="3"/>
      <c r="F1101" s="3"/>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row>
    <row r="1102" spans="1:32" ht="15" x14ac:dyDescent="0.25">
      <c r="A1102" s="3"/>
      <c r="B1102" s="3"/>
      <c r="C1102" s="3"/>
      <c r="D1102" s="3"/>
      <c r="E1102" s="3"/>
      <c r="F1102" s="3"/>
      <c r="G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row>
    <row r="1103" spans="1:32" ht="15" x14ac:dyDescent="0.25">
      <c r="A1103" s="3"/>
      <c r="B1103" s="3"/>
      <c r="C1103" s="3"/>
      <c r="D1103" s="3"/>
      <c r="E1103" s="3"/>
      <c r="F1103" s="3"/>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row>
    <row r="1104" spans="1:32" ht="15" x14ac:dyDescent="0.25">
      <c r="A1104" s="3"/>
      <c r="B1104" s="3"/>
      <c r="C1104" s="3"/>
      <c r="D1104" s="3"/>
      <c r="E1104" s="3"/>
      <c r="F1104" s="3"/>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row>
    <row r="1105" spans="1:32" ht="15" x14ac:dyDescent="0.25">
      <c r="A1105" s="3"/>
      <c r="B1105" s="3"/>
      <c r="C1105" s="3"/>
      <c r="D1105" s="3"/>
      <c r="E1105" s="3"/>
      <c r="F1105" s="3"/>
      <c r="G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row>
    <row r="1106" spans="1:32" ht="15" x14ac:dyDescent="0.25">
      <c r="A1106" s="3"/>
      <c r="B1106" s="3"/>
      <c r="C1106" s="3"/>
      <c r="D1106" s="3"/>
      <c r="E1106" s="3"/>
      <c r="F1106" s="3"/>
      <c r="G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row>
    <row r="1107" spans="1:32" ht="15" x14ac:dyDescent="0.25">
      <c r="A1107" s="3"/>
      <c r="B1107" s="3"/>
      <c r="C1107" s="3"/>
      <c r="D1107" s="3"/>
      <c r="E1107" s="3"/>
      <c r="F1107" s="3"/>
      <c r="G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row>
    <row r="1108" spans="1:32" ht="15" x14ac:dyDescent="0.25">
      <c r="A1108" s="3"/>
      <c r="B1108" s="3"/>
      <c r="C1108" s="3"/>
      <c r="D1108" s="3"/>
      <c r="E1108" s="3"/>
      <c r="F1108" s="3"/>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row>
    <row r="1109" spans="1:32" ht="15" x14ac:dyDescent="0.25">
      <c r="A1109" s="3"/>
      <c r="B1109" s="3"/>
      <c r="C1109" s="3"/>
      <c r="D1109" s="3"/>
      <c r="E1109" s="3"/>
      <c r="F1109" s="3"/>
      <c r="G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row>
    <row r="1110" spans="1:32" ht="15" x14ac:dyDescent="0.25">
      <c r="A1110" s="3"/>
      <c r="B1110" s="3"/>
      <c r="C1110" s="3"/>
      <c r="D1110" s="3"/>
      <c r="E1110" s="3"/>
      <c r="F1110" s="3"/>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row>
    <row r="1111" spans="1:32" ht="15" x14ac:dyDescent="0.25">
      <c r="A1111" s="3"/>
      <c r="B1111" s="3"/>
      <c r="C1111" s="3"/>
      <c r="D1111" s="3"/>
      <c r="E1111" s="3"/>
      <c r="F1111" s="3"/>
      <c r="G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row>
    <row r="1112" spans="1:32" ht="15" x14ac:dyDescent="0.25">
      <c r="A1112" s="3"/>
      <c r="B1112" s="3"/>
      <c r="C1112" s="3"/>
      <c r="D1112" s="3"/>
      <c r="E1112" s="3"/>
      <c r="F1112" s="3"/>
      <c r="G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row>
    <row r="1113" spans="1:32" ht="15" x14ac:dyDescent="0.25">
      <c r="A1113" s="3"/>
      <c r="B1113" s="3"/>
      <c r="C1113" s="3"/>
      <c r="D1113" s="3"/>
      <c r="E1113" s="3"/>
      <c r="F1113" s="3"/>
      <c r="G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row>
    <row r="1114" spans="1:32" ht="15" x14ac:dyDescent="0.25">
      <c r="A1114" s="3"/>
      <c r="B1114" s="3"/>
      <c r="C1114" s="3"/>
      <c r="D1114" s="3"/>
      <c r="E1114" s="3"/>
      <c r="F1114" s="3"/>
      <c r="G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row>
    <row r="1115" spans="1:32" ht="15" x14ac:dyDescent="0.25">
      <c r="A1115" s="3"/>
      <c r="B1115" s="3"/>
      <c r="C1115" s="3"/>
      <c r="D1115" s="3"/>
      <c r="E1115" s="3"/>
      <c r="F1115" s="3"/>
      <c r="G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row>
    <row r="1116" spans="1:32" ht="15" x14ac:dyDescent="0.25">
      <c r="A1116" s="3"/>
      <c r="B1116" s="3"/>
      <c r="C1116" s="3"/>
      <c r="D1116" s="3"/>
      <c r="E1116" s="3"/>
      <c r="F1116" s="3"/>
      <c r="G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row>
    <row r="1117" spans="1:32" ht="15" x14ac:dyDescent="0.25">
      <c r="A1117" s="3"/>
      <c r="B1117" s="3"/>
      <c r="C1117" s="3"/>
      <c r="D1117" s="3"/>
      <c r="E1117" s="3"/>
      <c r="F1117" s="3"/>
      <c r="G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row>
    <row r="1118" spans="1:32" ht="15" x14ac:dyDescent="0.25">
      <c r="A1118" s="3"/>
      <c r="B1118" s="3"/>
      <c r="C1118" s="3"/>
      <c r="D1118" s="3"/>
      <c r="E1118" s="3"/>
      <c r="F1118" s="3"/>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row>
    <row r="1119" spans="1:32" ht="15" x14ac:dyDescent="0.25">
      <c r="A1119" s="3"/>
      <c r="B1119" s="3"/>
      <c r="C1119" s="3"/>
      <c r="D1119" s="3"/>
      <c r="E1119" s="3"/>
      <c r="F1119" s="3"/>
      <c r="G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row>
    <row r="1120" spans="1:32" ht="15" x14ac:dyDescent="0.25">
      <c r="A1120" s="3"/>
      <c r="B1120" s="3"/>
      <c r="C1120" s="3"/>
      <c r="D1120" s="3"/>
      <c r="E1120" s="3"/>
      <c r="F1120" s="3"/>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row>
    <row r="1121" spans="1:32" ht="15" x14ac:dyDescent="0.25">
      <c r="A1121" s="3"/>
      <c r="B1121" s="3"/>
      <c r="C1121" s="3"/>
      <c r="D1121" s="3"/>
      <c r="E1121" s="3"/>
      <c r="F1121" s="3"/>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row>
    <row r="1122" spans="1:32" ht="15" x14ac:dyDescent="0.25">
      <c r="A1122" s="3"/>
      <c r="B1122" s="3"/>
      <c r="C1122" s="3"/>
      <c r="D1122" s="3"/>
      <c r="E1122" s="3"/>
      <c r="F1122" s="3"/>
      <c r="G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row>
    <row r="1123" spans="1:32" ht="15" x14ac:dyDescent="0.25">
      <c r="A1123" s="3"/>
      <c r="B1123" s="3"/>
      <c r="C1123" s="3"/>
      <c r="D1123" s="3"/>
      <c r="E1123" s="3"/>
      <c r="F1123" s="3"/>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row>
    <row r="1124" spans="1:32" ht="15" x14ac:dyDescent="0.25">
      <c r="A1124" s="3"/>
      <c r="B1124" s="3"/>
      <c r="C1124" s="3"/>
      <c r="D1124" s="3"/>
      <c r="E1124" s="3"/>
      <c r="F1124" s="3"/>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row>
    <row r="1125" spans="1:32" ht="15" x14ac:dyDescent="0.25">
      <c r="A1125" s="3"/>
      <c r="B1125" s="3"/>
      <c r="C1125" s="3"/>
      <c r="D1125" s="3"/>
      <c r="E1125" s="3"/>
      <c r="F1125" s="3"/>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row>
    <row r="1126" spans="1:32" ht="15" x14ac:dyDescent="0.25">
      <c r="A1126" s="3"/>
      <c r="B1126" s="3"/>
      <c r="C1126" s="3"/>
      <c r="D1126" s="3"/>
      <c r="E1126" s="3"/>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row>
    <row r="1127" spans="1:32" ht="15" x14ac:dyDescent="0.25">
      <c r="A1127" s="3"/>
      <c r="B1127" s="3"/>
      <c r="C1127" s="3"/>
      <c r="D1127" s="3"/>
      <c r="E1127" s="3"/>
      <c r="F1127" s="3"/>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row>
    <row r="1128" spans="1:32" ht="15" x14ac:dyDescent="0.25">
      <c r="A1128" s="3"/>
      <c r="B1128" s="3"/>
      <c r="C1128" s="3"/>
      <c r="D1128" s="3"/>
      <c r="E1128" s="3"/>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row>
    <row r="1129" spans="1:32" ht="15" x14ac:dyDescent="0.25">
      <c r="A1129" s="3"/>
      <c r="B1129" s="3"/>
      <c r="C1129" s="3"/>
      <c r="D1129" s="3"/>
      <c r="E1129" s="3"/>
      <c r="F1129" s="3"/>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row>
    <row r="1130" spans="1:32" ht="15" x14ac:dyDescent="0.25">
      <c r="A1130" s="3"/>
      <c r="B1130" s="3"/>
      <c r="C1130" s="3"/>
      <c r="D1130" s="3"/>
      <c r="E1130" s="3"/>
      <c r="F1130" s="3"/>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row>
    <row r="1131" spans="1:32" ht="15" x14ac:dyDescent="0.25">
      <c r="A1131" s="3"/>
      <c r="B1131" s="3"/>
      <c r="C1131" s="3"/>
      <c r="D1131" s="3"/>
      <c r="E1131" s="3"/>
      <c r="F1131" s="3"/>
      <c r="G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row>
    <row r="1132" spans="1:32" ht="15" x14ac:dyDescent="0.25">
      <c r="A1132" s="3"/>
      <c r="B1132" s="3"/>
      <c r="C1132" s="3"/>
      <c r="D1132" s="3"/>
      <c r="E1132" s="3"/>
      <c r="F1132" s="3"/>
      <c r="G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row>
    <row r="1133" spans="1:32" ht="15" x14ac:dyDescent="0.25">
      <c r="A1133" s="3"/>
      <c r="B1133" s="3"/>
      <c r="C1133" s="3"/>
      <c r="D1133" s="3"/>
      <c r="E1133" s="3"/>
      <c r="F1133" s="3"/>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row>
    <row r="1134" spans="1:32" ht="15" x14ac:dyDescent="0.25">
      <c r="A1134" s="3"/>
      <c r="B1134" s="3"/>
      <c r="C1134" s="3"/>
      <c r="D1134" s="3"/>
      <c r="E1134" s="3"/>
      <c r="F1134" s="3"/>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row>
    <row r="1135" spans="1:32" ht="15" x14ac:dyDescent="0.25">
      <c r="A1135" s="3"/>
      <c r="B1135" s="3"/>
      <c r="C1135" s="3"/>
      <c r="D1135" s="3"/>
      <c r="E1135" s="3"/>
      <c r="F1135" s="3"/>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row>
    <row r="1136" spans="1:32" ht="15" x14ac:dyDescent="0.25">
      <c r="A1136" s="3"/>
      <c r="B1136" s="3"/>
      <c r="C1136" s="3"/>
      <c r="D1136" s="3"/>
      <c r="E1136" s="3"/>
      <c r="F1136" s="3"/>
      <c r="G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row>
    <row r="1137" spans="1:32" ht="15" x14ac:dyDescent="0.25">
      <c r="A1137" s="3"/>
      <c r="B1137" s="3"/>
      <c r="C1137" s="3"/>
      <c r="D1137" s="3"/>
      <c r="E1137" s="3"/>
      <c r="F1137" s="3"/>
      <c r="G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row>
    <row r="1138" spans="1:32" ht="15" x14ac:dyDescent="0.25">
      <c r="A1138" s="3"/>
      <c r="B1138" s="3"/>
      <c r="C1138" s="3"/>
      <c r="D1138" s="3"/>
      <c r="E1138" s="3"/>
      <c r="F1138" s="3"/>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row>
    <row r="1139" spans="1:32" ht="15" x14ac:dyDescent="0.25">
      <c r="A1139" s="3"/>
      <c r="B1139" s="3"/>
      <c r="C1139" s="3"/>
      <c r="D1139" s="3"/>
      <c r="E1139" s="3"/>
      <c r="F1139" s="3"/>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row>
    <row r="1140" spans="1:32" ht="15" x14ac:dyDescent="0.25">
      <c r="A1140" s="3"/>
      <c r="B1140" s="3"/>
      <c r="C1140" s="3"/>
      <c r="D1140" s="3"/>
      <c r="E1140" s="3"/>
      <c r="F1140" s="3"/>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row>
    <row r="1141" spans="1:32" ht="15" x14ac:dyDescent="0.25">
      <c r="A1141" s="3"/>
      <c r="B1141" s="3"/>
      <c r="C1141" s="3"/>
      <c r="D1141" s="3"/>
      <c r="E1141" s="3"/>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row>
    <row r="1142" spans="1:32" ht="15" x14ac:dyDescent="0.25">
      <c r="A1142" s="3"/>
      <c r="B1142" s="3"/>
      <c r="C1142" s="3"/>
      <c r="D1142" s="3"/>
      <c r="E1142" s="3"/>
      <c r="F1142" s="3"/>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row>
    <row r="1143" spans="1:32" ht="15" x14ac:dyDescent="0.25">
      <c r="A1143" s="3"/>
      <c r="B1143" s="3"/>
      <c r="C1143" s="3"/>
      <c r="D1143" s="3"/>
      <c r="E1143" s="3"/>
      <c r="F1143" s="3"/>
      <c r="G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row>
    <row r="1144" spans="1:32" ht="15" x14ac:dyDescent="0.25">
      <c r="A1144" s="3"/>
      <c r="B1144" s="3"/>
      <c r="C1144" s="3"/>
      <c r="D1144" s="3"/>
      <c r="E1144" s="3"/>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row>
    <row r="1145" spans="1:32" ht="15" x14ac:dyDescent="0.25">
      <c r="A1145" s="3"/>
      <c r="B1145" s="3"/>
      <c r="C1145" s="3"/>
      <c r="D1145" s="3"/>
      <c r="E1145" s="3"/>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row>
    <row r="1146" spans="1:32" ht="15" x14ac:dyDescent="0.25">
      <c r="A1146" s="3"/>
      <c r="B1146" s="3"/>
      <c r="C1146" s="3"/>
      <c r="D1146" s="3"/>
      <c r="E1146" s="3"/>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row>
    <row r="1147" spans="1:32" ht="15" x14ac:dyDescent="0.25">
      <c r="A1147" s="3"/>
      <c r="B1147" s="3"/>
      <c r="C1147" s="3"/>
      <c r="D1147" s="3"/>
      <c r="E1147" s="3"/>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row>
    <row r="1148" spans="1:32" ht="15" x14ac:dyDescent="0.25">
      <c r="A1148" s="3"/>
      <c r="B1148" s="3"/>
      <c r="C1148" s="3"/>
      <c r="D1148" s="3"/>
      <c r="E1148" s="3"/>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row>
    <row r="1149" spans="1:32" ht="15" x14ac:dyDescent="0.25">
      <c r="A1149" s="3"/>
      <c r="B1149" s="3"/>
      <c r="C1149" s="3"/>
      <c r="D1149" s="3"/>
      <c r="E1149" s="3"/>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row>
    <row r="1150" spans="1:32" ht="15" x14ac:dyDescent="0.25">
      <c r="A1150" s="3"/>
      <c r="B1150" s="3"/>
      <c r="C1150" s="3"/>
      <c r="D1150" s="3"/>
      <c r="E1150" s="3"/>
      <c r="F1150" s="3"/>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row>
    <row r="1151" spans="1:32" ht="15" x14ac:dyDescent="0.25">
      <c r="A1151" s="3"/>
      <c r="B1151" s="3"/>
      <c r="C1151" s="3"/>
      <c r="D1151" s="3"/>
      <c r="E1151" s="3"/>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row>
    <row r="1152" spans="1:32" ht="15" x14ac:dyDescent="0.25">
      <c r="A1152" s="3"/>
      <c r="B1152" s="3"/>
      <c r="C1152" s="3"/>
      <c r="D1152" s="3"/>
      <c r="E1152" s="3"/>
      <c r="F1152" s="3"/>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row>
    <row r="1153" spans="1:32" ht="15" x14ac:dyDescent="0.25">
      <c r="A1153" s="3"/>
      <c r="B1153" s="3"/>
      <c r="C1153" s="3"/>
      <c r="D1153" s="3"/>
      <c r="E1153" s="3"/>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row>
    <row r="1154" spans="1:32" ht="15" x14ac:dyDescent="0.25">
      <c r="A1154" s="3"/>
      <c r="B1154" s="3"/>
      <c r="C1154" s="3"/>
      <c r="D1154" s="3"/>
      <c r="E1154" s="3"/>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row>
    <row r="1155" spans="1:32" ht="15" x14ac:dyDescent="0.25">
      <c r="A1155" s="3"/>
      <c r="B1155" s="3"/>
      <c r="C1155" s="3"/>
      <c r="D1155" s="3"/>
      <c r="E1155" s="3"/>
      <c r="F1155" s="3"/>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row>
    <row r="1156" spans="1:32" ht="15" x14ac:dyDescent="0.25">
      <c r="A1156" s="3"/>
      <c r="B1156" s="3"/>
      <c r="C1156" s="3"/>
      <c r="D1156" s="3"/>
      <c r="E1156" s="3"/>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row>
    <row r="1157" spans="1:32" ht="15" x14ac:dyDescent="0.25">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row>
    <row r="1158" spans="1:32" ht="15" x14ac:dyDescent="0.25">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row>
    <row r="1159" spans="1:32" ht="15" x14ac:dyDescent="0.25">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row>
    <row r="1160" spans="1:32" ht="15" x14ac:dyDescent="0.25">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row>
    <row r="1161" spans="1:32" ht="15" x14ac:dyDescent="0.25">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row>
    <row r="1162" spans="1:32" ht="15" x14ac:dyDescent="0.25">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row>
    <row r="1163" spans="1:32" ht="15" x14ac:dyDescent="0.25">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row>
    <row r="1164" spans="1:32" ht="15" x14ac:dyDescent="0.25">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row>
    <row r="1165" spans="1:32" ht="15" x14ac:dyDescent="0.25">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row>
    <row r="1166" spans="1:32" ht="15" x14ac:dyDescent="0.25">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row>
    <row r="1167" spans="1:32" ht="15" x14ac:dyDescent="0.25">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row>
    <row r="1168" spans="1:32" ht="15" x14ac:dyDescent="0.25">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row>
    <row r="1169" spans="1:32" ht="15" x14ac:dyDescent="0.25">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row>
    <row r="1170" spans="1:32" ht="15" x14ac:dyDescent="0.25">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row>
    <row r="1171" spans="1:32" ht="15" x14ac:dyDescent="0.25">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row>
    <row r="1172" spans="1:32" ht="15" x14ac:dyDescent="0.25">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row>
    <row r="1173" spans="1:32" ht="15" x14ac:dyDescent="0.25">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row>
    <row r="1174" spans="1:32" ht="15" x14ac:dyDescent="0.25">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row>
    <row r="1175" spans="1:32" ht="15" x14ac:dyDescent="0.25">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row>
    <row r="1176" spans="1:32" ht="15" x14ac:dyDescent="0.25">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row>
    <row r="1177" spans="1:32" ht="15" x14ac:dyDescent="0.25">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row>
    <row r="1178" spans="1:32" ht="15" x14ac:dyDescent="0.25">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row>
    <row r="1179" spans="1:32" ht="15" x14ac:dyDescent="0.25">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row>
    <row r="1180" spans="1:32" ht="15" x14ac:dyDescent="0.25">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row>
    <row r="1181" spans="1:32" ht="15" x14ac:dyDescent="0.25">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row>
    <row r="1182" spans="1:32" ht="15" x14ac:dyDescent="0.25">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row>
    <row r="1183" spans="1:32" ht="15" x14ac:dyDescent="0.25">
      <c r="A1183" s="3"/>
      <c r="B1183" s="3"/>
      <c r="C1183" s="3"/>
      <c r="D1183" s="3"/>
      <c r="E1183" s="3"/>
      <c r="F1183" s="3"/>
      <c r="G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row>
    <row r="1184" spans="1:32" ht="15" x14ac:dyDescent="0.25">
      <c r="A1184" s="3"/>
      <c r="B1184" s="3"/>
      <c r="C1184" s="3"/>
      <c r="D1184" s="3"/>
      <c r="E1184" s="3"/>
      <c r="F1184" s="3"/>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row>
    <row r="1185" spans="1:32" ht="15" x14ac:dyDescent="0.25">
      <c r="A1185" s="3"/>
      <c r="B1185" s="3"/>
      <c r="C1185" s="3"/>
      <c r="D1185" s="3"/>
      <c r="E1185" s="3"/>
      <c r="F1185" s="3"/>
      <c r="G1185" s="3"/>
      <c r="H1185" s="3"/>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row>
    <row r="1186" spans="1:32" ht="15" x14ac:dyDescent="0.25">
      <c r="A1186" s="3"/>
      <c r="B1186" s="3"/>
      <c r="C1186" s="3"/>
      <c r="D1186" s="3"/>
      <c r="E1186" s="3"/>
      <c r="F1186" s="3"/>
      <c r="G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row>
    <row r="1187" spans="1:32" ht="15" x14ac:dyDescent="0.25">
      <c r="A1187" s="3"/>
      <c r="B1187" s="3"/>
      <c r="C1187" s="3"/>
      <c r="D1187" s="3"/>
      <c r="E1187" s="3"/>
      <c r="F1187" s="3"/>
      <c r="G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row>
    <row r="1188" spans="1:32" ht="15" x14ac:dyDescent="0.25">
      <c r="A1188" s="3"/>
      <c r="B1188" s="3"/>
      <c r="C1188" s="3"/>
      <c r="D1188" s="3"/>
      <c r="E1188" s="3"/>
      <c r="F1188" s="3"/>
      <c r="G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row>
    <row r="1189" spans="1:32" ht="15" x14ac:dyDescent="0.25">
      <c r="A1189" s="3"/>
      <c r="B1189" s="3"/>
      <c r="C1189" s="3"/>
      <c r="D1189" s="3"/>
      <c r="E1189" s="3"/>
      <c r="F1189" s="3"/>
      <c r="G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row>
    <row r="1190" spans="1:32" ht="15" x14ac:dyDescent="0.25">
      <c r="A1190" s="3"/>
      <c r="B1190" s="3"/>
      <c r="C1190" s="3"/>
      <c r="D1190" s="3"/>
      <c r="E1190" s="3"/>
      <c r="F1190" s="3"/>
      <c r="G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row>
    <row r="1191" spans="1:32" ht="15" x14ac:dyDescent="0.25">
      <c r="A1191" s="3"/>
      <c r="B1191" s="3"/>
      <c r="C1191" s="3"/>
      <c r="D1191" s="3"/>
      <c r="E1191" s="3"/>
      <c r="F1191" s="3"/>
      <c r="G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row>
    <row r="1192" spans="1:32" ht="15" x14ac:dyDescent="0.25">
      <c r="A1192" s="3"/>
      <c r="B1192" s="3"/>
      <c r="C1192" s="3"/>
      <c r="D1192" s="3"/>
      <c r="E1192" s="3"/>
      <c r="F1192" s="3"/>
      <c r="G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row>
    <row r="1193" spans="1:32" ht="15" x14ac:dyDescent="0.25">
      <c r="A1193" s="3"/>
      <c r="B1193" s="3"/>
      <c r="C1193" s="3"/>
      <c r="D1193" s="3"/>
      <c r="E1193" s="3"/>
      <c r="F1193" s="3"/>
      <c r="G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row>
    <row r="1194" spans="1:32" ht="15" x14ac:dyDescent="0.25">
      <c r="A1194" s="3"/>
      <c r="B1194" s="3"/>
      <c r="C1194" s="3"/>
      <c r="D1194" s="3"/>
      <c r="E1194" s="3"/>
      <c r="F1194" s="3"/>
      <c r="G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row>
    <row r="1195" spans="1:32" ht="15" x14ac:dyDescent="0.25">
      <c r="A1195" s="3"/>
      <c r="B1195" s="3"/>
      <c r="C1195" s="3"/>
      <c r="D1195" s="3"/>
      <c r="E1195" s="3"/>
      <c r="F1195" s="3"/>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row>
    <row r="1196" spans="1:32" ht="15" x14ac:dyDescent="0.25">
      <c r="A1196" s="3"/>
      <c r="B1196" s="3"/>
      <c r="C1196" s="3"/>
      <c r="D1196" s="3"/>
      <c r="E1196" s="3"/>
      <c r="F1196" s="3"/>
      <c r="G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row>
    <row r="1197" spans="1:32" ht="15" x14ac:dyDescent="0.25">
      <c r="A1197" s="3"/>
      <c r="B1197" s="3"/>
      <c r="C1197" s="3"/>
      <c r="D1197" s="3"/>
      <c r="E1197" s="3"/>
      <c r="F1197" s="3"/>
      <c r="G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row>
    <row r="1198" spans="1:32" ht="15" x14ac:dyDescent="0.25">
      <c r="A1198" s="3"/>
      <c r="B1198" s="3"/>
      <c r="C1198" s="3"/>
      <c r="D1198" s="3"/>
      <c r="E1198" s="3"/>
      <c r="F1198" s="3"/>
      <c r="G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row>
    <row r="1199" spans="1:32" ht="15" x14ac:dyDescent="0.25">
      <c r="A1199" s="3"/>
      <c r="B1199" s="3"/>
      <c r="C1199" s="3"/>
      <c r="D1199" s="3"/>
      <c r="E1199" s="3"/>
      <c r="F1199" s="3"/>
      <c r="G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row>
    <row r="1200" spans="1:32" ht="15" x14ac:dyDescent="0.25">
      <c r="A1200" s="3"/>
      <c r="B1200" s="3"/>
      <c r="C1200" s="3"/>
      <c r="D1200" s="3"/>
      <c r="E1200" s="3"/>
      <c r="F1200" s="3"/>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row>
    <row r="1201" spans="1:32" ht="15" x14ac:dyDescent="0.25">
      <c r="A1201" s="3"/>
      <c r="B1201" s="3"/>
      <c r="C1201" s="3"/>
      <c r="D1201" s="3"/>
      <c r="E1201" s="3"/>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row>
    <row r="1202" spans="1:32" ht="15" x14ac:dyDescent="0.25">
      <c r="A1202" s="3"/>
      <c r="B1202" s="3"/>
      <c r="C1202" s="3"/>
      <c r="D1202" s="3"/>
      <c r="E1202" s="3"/>
      <c r="F1202" s="3"/>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row>
    <row r="1203" spans="1:32" ht="15" x14ac:dyDescent="0.25">
      <c r="A1203" s="3"/>
      <c r="B1203" s="3"/>
      <c r="C1203" s="3"/>
      <c r="D1203" s="3"/>
      <c r="E1203" s="3"/>
      <c r="F1203" s="3"/>
      <c r="G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row>
    <row r="1204" spans="1:32" ht="15" x14ac:dyDescent="0.25">
      <c r="A1204" s="3"/>
      <c r="B1204" s="3"/>
      <c r="C1204" s="3"/>
      <c r="D1204" s="3"/>
      <c r="E1204" s="3"/>
      <c r="F1204" s="3"/>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row>
    <row r="1205" spans="1:32" ht="15" x14ac:dyDescent="0.25">
      <c r="A1205" s="3"/>
      <c r="B1205" s="3"/>
      <c r="C1205" s="3"/>
      <c r="D1205" s="3"/>
      <c r="E1205" s="3"/>
      <c r="F1205" s="3"/>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row>
    <row r="1206" spans="1:32" ht="15" x14ac:dyDescent="0.25">
      <c r="A1206" s="3"/>
      <c r="B1206" s="3"/>
      <c r="C1206" s="3"/>
      <c r="D1206" s="3"/>
      <c r="E1206" s="3"/>
      <c r="F1206" s="3"/>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row>
    <row r="1207" spans="1:32" ht="15" x14ac:dyDescent="0.25">
      <c r="A1207" s="3"/>
      <c r="B1207" s="3"/>
      <c r="C1207" s="3"/>
      <c r="D1207" s="3"/>
      <c r="E1207" s="3"/>
      <c r="F1207" s="3"/>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row>
    <row r="1208" spans="1:32" ht="15" x14ac:dyDescent="0.25">
      <c r="A1208" s="3"/>
      <c r="B1208" s="3"/>
      <c r="C1208" s="3"/>
      <c r="D1208" s="3"/>
      <c r="E1208" s="3"/>
      <c r="F1208" s="3"/>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row>
    <row r="1209" spans="1:32" ht="15" x14ac:dyDescent="0.25">
      <c r="A1209" s="3"/>
      <c r="B1209" s="3"/>
      <c r="C1209" s="3"/>
      <c r="D1209" s="3"/>
      <c r="E1209" s="3"/>
      <c r="F1209" s="3"/>
      <c r="G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row>
    <row r="1210" spans="1:32" ht="15" x14ac:dyDescent="0.25">
      <c r="A1210" s="3"/>
      <c r="B1210" s="3"/>
      <c r="C1210" s="3"/>
      <c r="D1210" s="3"/>
      <c r="E1210" s="3"/>
      <c r="F1210" s="3"/>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row>
    <row r="1211" spans="1:32" ht="15" x14ac:dyDescent="0.25">
      <c r="A1211" s="3"/>
      <c r="B1211" s="3"/>
      <c r="C1211" s="3"/>
      <c r="D1211" s="3"/>
      <c r="E1211" s="3"/>
      <c r="F1211" s="3"/>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row>
    <row r="1212" spans="1:32" ht="15" x14ac:dyDescent="0.25">
      <c r="A1212" s="3"/>
      <c r="B1212" s="3"/>
      <c r="C1212" s="3"/>
      <c r="D1212" s="3"/>
      <c r="E1212" s="3"/>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row>
    <row r="1213" spans="1:32" ht="15" x14ac:dyDescent="0.25">
      <c r="A1213" s="3"/>
      <c r="B1213" s="3"/>
      <c r="C1213" s="3"/>
      <c r="D1213" s="3"/>
      <c r="E1213" s="3"/>
      <c r="F1213" s="3"/>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row>
    <row r="1214" spans="1:32" ht="15" x14ac:dyDescent="0.25">
      <c r="A1214" s="3"/>
      <c r="B1214" s="3"/>
      <c r="C1214" s="3"/>
      <c r="D1214" s="3"/>
      <c r="E1214" s="3"/>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row>
    <row r="1215" spans="1:32" ht="15" x14ac:dyDescent="0.25">
      <c r="A1215" s="3"/>
      <c r="B1215" s="3"/>
      <c r="C1215" s="3"/>
      <c r="D1215" s="3"/>
      <c r="E1215" s="3"/>
      <c r="F1215" s="3"/>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row>
    <row r="1216" spans="1:32" ht="15" x14ac:dyDescent="0.25">
      <c r="A1216" s="3"/>
      <c r="B1216" s="3"/>
      <c r="C1216" s="3"/>
      <c r="D1216" s="3"/>
      <c r="E1216" s="3"/>
      <c r="F1216" s="3"/>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row>
    <row r="1217" spans="1:32" ht="15" x14ac:dyDescent="0.25">
      <c r="A1217" s="3"/>
      <c r="B1217" s="3"/>
      <c r="C1217" s="3"/>
      <c r="D1217" s="3"/>
      <c r="E1217" s="3"/>
      <c r="F1217" s="3"/>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row>
    <row r="1218" spans="1:32" ht="15" x14ac:dyDescent="0.25">
      <c r="A1218" s="3"/>
      <c r="B1218" s="3"/>
      <c r="C1218" s="3"/>
      <c r="D1218" s="3"/>
      <c r="E1218" s="3"/>
      <c r="F1218" s="3"/>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row>
    <row r="1219" spans="1:32" ht="15" x14ac:dyDescent="0.25">
      <c r="A1219" s="3"/>
      <c r="B1219" s="3"/>
      <c r="C1219" s="3"/>
      <c r="D1219" s="3"/>
      <c r="E1219" s="3"/>
      <c r="F1219" s="3"/>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row>
    <row r="1220" spans="1:32" ht="15" x14ac:dyDescent="0.25">
      <c r="A1220" s="3"/>
      <c r="B1220" s="3"/>
      <c r="C1220" s="3"/>
      <c r="D1220" s="3"/>
      <c r="E1220" s="3"/>
      <c r="F1220" s="3"/>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row>
    <row r="1221" spans="1:32" ht="15" x14ac:dyDescent="0.25">
      <c r="A1221" s="3"/>
      <c r="B1221" s="3"/>
      <c r="C1221" s="3"/>
      <c r="D1221" s="3"/>
      <c r="E1221" s="3"/>
      <c r="F1221" s="3"/>
      <c r="G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row>
    <row r="1222" spans="1:32" ht="15" x14ac:dyDescent="0.25">
      <c r="A1222" s="3"/>
      <c r="B1222" s="3"/>
      <c r="C1222" s="3"/>
      <c r="D1222" s="3"/>
      <c r="E1222" s="3"/>
      <c r="F1222" s="3"/>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row>
    <row r="1223" spans="1:32" ht="15" x14ac:dyDescent="0.25">
      <c r="A1223" s="3"/>
      <c r="B1223" s="3"/>
      <c r="C1223" s="3"/>
      <c r="D1223" s="3"/>
      <c r="E1223" s="3"/>
      <c r="F1223" s="3"/>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row>
    <row r="1224" spans="1:32" ht="15" x14ac:dyDescent="0.25">
      <c r="A1224" s="3"/>
      <c r="B1224" s="3"/>
      <c r="C1224" s="3"/>
      <c r="D1224" s="3"/>
      <c r="E1224" s="3"/>
      <c r="F1224" s="3"/>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row>
    <row r="1225" spans="1:32" ht="15" x14ac:dyDescent="0.25">
      <c r="A1225" s="3"/>
      <c r="B1225" s="3"/>
      <c r="C1225" s="3"/>
      <c r="D1225" s="3"/>
      <c r="E1225" s="3"/>
      <c r="F1225" s="3"/>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row>
    <row r="1226" spans="1:32" ht="15" x14ac:dyDescent="0.25">
      <c r="A1226" s="3"/>
      <c r="B1226" s="3"/>
      <c r="C1226" s="3"/>
      <c r="D1226" s="3"/>
      <c r="E1226" s="3"/>
      <c r="F1226" s="3"/>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row>
    <row r="1227" spans="1:32" ht="15" x14ac:dyDescent="0.25">
      <c r="A1227" s="3"/>
      <c r="B1227" s="3"/>
      <c r="C1227" s="3"/>
      <c r="D1227" s="3"/>
      <c r="E1227" s="3"/>
      <c r="F1227" s="3"/>
      <c r="G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row>
    <row r="1228" spans="1:32" ht="15" x14ac:dyDescent="0.25">
      <c r="A1228" s="3"/>
      <c r="B1228" s="3"/>
      <c r="C1228" s="3"/>
      <c r="D1228" s="3"/>
      <c r="E1228" s="3"/>
      <c r="F1228" s="3"/>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row>
    <row r="1229" spans="1:32" ht="15" x14ac:dyDescent="0.25">
      <c r="A1229" s="3"/>
      <c r="B1229" s="3"/>
      <c r="C1229" s="3"/>
      <c r="D1229" s="3"/>
      <c r="E1229" s="3"/>
      <c r="F1229" s="3"/>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row>
    <row r="1230" spans="1:32" ht="15" x14ac:dyDescent="0.25">
      <c r="A1230" s="3"/>
      <c r="B1230" s="3"/>
      <c r="C1230" s="3"/>
      <c r="D1230" s="3"/>
      <c r="E1230" s="3"/>
      <c r="F1230" s="3"/>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row>
    <row r="1231" spans="1:32" ht="15" x14ac:dyDescent="0.25">
      <c r="A1231" s="3"/>
      <c r="B1231" s="3"/>
      <c r="C1231" s="3"/>
      <c r="D1231" s="3"/>
      <c r="E1231" s="3"/>
      <c r="F1231" s="3"/>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row>
  </sheetData>
  <mergeCells count="9">
    <mergeCell ref="C235:F235"/>
    <mergeCell ref="G235:L235"/>
    <mergeCell ref="M235:R235"/>
    <mergeCell ref="B2:H2"/>
    <mergeCell ref="J2:K2"/>
    <mergeCell ref="B53:E53"/>
    <mergeCell ref="C222:F222"/>
    <mergeCell ref="G222:L222"/>
    <mergeCell ref="M222:R222"/>
  </mergeCells>
  <hyperlinks>
    <hyperlink ref="B51" r:id="rId1" xr:uid="{EF9AE4E9-660C-42E9-B2EF-9657EEFC2094}"/>
    <hyperlink ref="B52" r:id="rId2" xr:uid="{AE086D8F-A991-42CC-81EA-C591D3468A94}"/>
    <hyperlink ref="B126" r:id="rId3" xr:uid="{3F1B7ED0-BB95-446B-9E97-871BA26D3E2C}"/>
  </hyperlinks>
  <pageMargins left="0.7" right="0.7" top="0.75" bottom="0.75" header="0.3" footer="0.3"/>
  <legacy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75838-E16A-4DBE-ADE3-FA444DFB29E0}">
  <sheetPr>
    <outlinePr summaryBelow="0" summaryRight="0"/>
  </sheetPr>
  <dimension ref="A1:Z959"/>
  <sheetViews>
    <sheetView workbookViewId="0"/>
  </sheetViews>
  <sheetFormatPr defaultColWidth="16.83203125" defaultRowHeight="11.25" x14ac:dyDescent="0.2"/>
  <cols>
    <col min="1" max="1" width="5.1640625" style="1935" bestFit="1" customWidth="1"/>
    <col min="2" max="2" width="50" style="1935" bestFit="1" customWidth="1"/>
    <col min="3" max="3" width="36.33203125" style="1935" bestFit="1" customWidth="1"/>
    <col min="4" max="4" width="31.83203125" style="1935" bestFit="1" customWidth="1"/>
    <col min="5" max="5" width="12.5" style="1935" bestFit="1" customWidth="1"/>
    <col min="6" max="6" width="6.33203125" style="1935" bestFit="1" customWidth="1"/>
    <col min="7" max="7" width="12.6640625" style="1935" bestFit="1" customWidth="1"/>
    <col min="8" max="16384" width="16.83203125" style="1935"/>
  </cols>
  <sheetData>
    <row r="1" spans="1:26" ht="12" x14ac:dyDescent="0.2">
      <c r="A1" s="1933" t="s">
        <v>655</v>
      </c>
      <c r="B1" s="1933" t="s">
        <v>1749</v>
      </c>
      <c r="C1" s="1933" t="s">
        <v>1750</v>
      </c>
      <c r="D1" s="1933" t="s">
        <v>1751</v>
      </c>
      <c r="E1" s="1933" t="s">
        <v>313</v>
      </c>
      <c r="F1" s="1933" t="s">
        <v>414</v>
      </c>
      <c r="G1" s="1934" t="s">
        <v>1752</v>
      </c>
      <c r="J1" s="1933"/>
      <c r="K1" s="1933"/>
      <c r="L1" s="1933"/>
      <c r="M1" s="1933"/>
      <c r="N1" s="1933"/>
      <c r="O1" s="1933"/>
      <c r="P1" s="1933"/>
      <c r="Q1" s="1933"/>
      <c r="R1" s="1933"/>
      <c r="S1" s="1933"/>
      <c r="T1" s="1933"/>
      <c r="U1" s="1933"/>
      <c r="V1" s="1933"/>
      <c r="W1" s="1933"/>
      <c r="X1" s="1933"/>
      <c r="Y1" s="1933"/>
      <c r="Z1" s="1933"/>
    </row>
    <row r="2" spans="1:26" ht="12" x14ac:dyDescent="0.2">
      <c r="A2" s="1933" t="str">
        <f>MID(Summary!$B$1,FIND(" ",Summary!$B$1,1)+1,4)</f>
        <v>2006</v>
      </c>
      <c r="B2" s="1933" t="s">
        <v>1753</v>
      </c>
      <c r="C2" s="1933" t="s">
        <v>31</v>
      </c>
      <c r="D2" s="1933" t="s">
        <v>40</v>
      </c>
      <c r="E2" s="1933" t="s">
        <v>3</v>
      </c>
      <c r="F2" s="1933" t="s">
        <v>1754</v>
      </c>
      <c r="G2" s="1934">
        <f>Summary!E14</f>
        <v>28.130573867498466</v>
      </c>
      <c r="H2" s="1936"/>
      <c r="I2" s="1933"/>
      <c r="J2" s="1933"/>
      <c r="K2" s="1933"/>
      <c r="L2" s="1933"/>
      <c r="M2" s="1933"/>
      <c r="N2" s="1933"/>
      <c r="O2" s="1933"/>
      <c r="P2" s="1933"/>
      <c r="Q2" s="1933"/>
      <c r="R2" s="1933"/>
      <c r="S2" s="1933"/>
      <c r="T2" s="1933"/>
      <c r="U2" s="1933"/>
      <c r="V2" s="1933"/>
      <c r="W2" s="1933"/>
      <c r="X2" s="1933"/>
      <c r="Y2" s="1933"/>
      <c r="Z2" s="1933"/>
    </row>
    <row r="3" spans="1:26" ht="12" x14ac:dyDescent="0.2">
      <c r="A3" s="1933" t="str">
        <f>MID(Summary!$B$1,FIND(" ",Summary!$B$1,1)+1,4)</f>
        <v>2006</v>
      </c>
      <c r="B3" s="1933" t="s">
        <v>1753</v>
      </c>
      <c r="C3" s="1933" t="s">
        <v>31</v>
      </c>
      <c r="D3" s="1933" t="s">
        <v>40</v>
      </c>
      <c r="E3" s="1933" t="s">
        <v>4</v>
      </c>
      <c r="F3" s="1933" t="s">
        <v>1754</v>
      </c>
      <c r="G3" s="1934">
        <f>Summary!E15</f>
        <v>8.4456162898645E-3</v>
      </c>
      <c r="H3" s="1933"/>
      <c r="I3" s="1933"/>
      <c r="J3" s="1933"/>
      <c r="K3" s="1933"/>
      <c r="L3" s="1933"/>
      <c r="M3" s="1933"/>
      <c r="N3" s="1933"/>
      <c r="O3" s="1933"/>
      <c r="P3" s="1933"/>
      <c r="Q3" s="1933"/>
      <c r="R3" s="1933"/>
      <c r="S3" s="1933"/>
      <c r="T3" s="1933"/>
      <c r="U3" s="1933"/>
      <c r="V3" s="1933"/>
      <c r="W3" s="1933"/>
      <c r="X3" s="1933"/>
      <c r="Y3" s="1933"/>
      <c r="Z3" s="1933"/>
    </row>
    <row r="4" spans="1:26" ht="12" x14ac:dyDescent="0.2">
      <c r="A4" s="1933" t="str">
        <f>MID(Summary!$B$1,FIND(" ",Summary!$B$1,1)+1,4)</f>
        <v>2006</v>
      </c>
      <c r="B4" s="1933" t="s">
        <v>1753</v>
      </c>
      <c r="C4" s="1933" t="s">
        <v>31</v>
      </c>
      <c r="D4" s="1933" t="s">
        <v>40</v>
      </c>
      <c r="E4" s="1933" t="s">
        <v>5</v>
      </c>
      <c r="F4" s="1933" t="s">
        <v>1754</v>
      </c>
      <c r="G4" s="1934">
        <f>Summary!E16</f>
        <v>0.12395985199639828</v>
      </c>
      <c r="H4" s="1933"/>
      <c r="I4" s="1933"/>
      <c r="J4" s="1933"/>
      <c r="K4" s="1933"/>
      <c r="L4" s="1933"/>
      <c r="M4" s="1933"/>
      <c r="N4" s="1933"/>
      <c r="O4" s="1933"/>
      <c r="P4" s="1933"/>
      <c r="Q4" s="1933"/>
      <c r="R4" s="1933"/>
      <c r="S4" s="1933"/>
      <c r="T4" s="1933"/>
      <c r="U4" s="1933"/>
      <c r="V4" s="1933"/>
      <c r="W4" s="1933"/>
      <c r="X4" s="1933"/>
      <c r="Y4" s="1933"/>
      <c r="Z4" s="1933"/>
    </row>
    <row r="5" spans="1:26" ht="12" x14ac:dyDescent="0.2">
      <c r="A5" s="1933" t="str">
        <f>MID(Summary!$B$1,FIND(" ",Summary!$B$1,1)+1,4)</f>
        <v>2006</v>
      </c>
      <c r="B5" s="1933" t="s">
        <v>1753</v>
      </c>
      <c r="C5" s="1933" t="s">
        <v>31</v>
      </c>
      <c r="D5" s="1933" t="s">
        <v>63</v>
      </c>
      <c r="E5" s="1933" t="s">
        <v>3</v>
      </c>
      <c r="F5" s="1933" t="s">
        <v>1754</v>
      </c>
      <c r="G5" s="1934">
        <f>Summary!E18</f>
        <v>3.6484130104806791</v>
      </c>
      <c r="H5" s="1933"/>
      <c r="I5" s="1933"/>
      <c r="J5" s="1933"/>
      <c r="K5" s="1933"/>
      <c r="L5" s="1933"/>
      <c r="M5" s="1933"/>
      <c r="N5" s="1933"/>
      <c r="O5" s="1933"/>
      <c r="P5" s="1933"/>
      <c r="Q5" s="1933"/>
      <c r="R5" s="1933"/>
      <c r="S5" s="1933"/>
      <c r="T5" s="1933"/>
      <c r="U5" s="1933"/>
      <c r="V5" s="1933"/>
      <c r="W5" s="1933"/>
      <c r="X5" s="1933"/>
      <c r="Y5" s="1933"/>
      <c r="Z5" s="1933"/>
    </row>
    <row r="6" spans="1:26" ht="12" x14ac:dyDescent="0.2">
      <c r="A6" s="1933" t="str">
        <f>MID(Summary!$B$1,FIND(" ",Summary!$B$1,1)+1,4)</f>
        <v>2006</v>
      </c>
      <c r="B6" s="1933" t="s">
        <v>1753</v>
      </c>
      <c r="C6" s="1933" t="s">
        <v>31</v>
      </c>
      <c r="D6" s="1933" t="s">
        <v>63</v>
      </c>
      <c r="E6" s="1933" t="s">
        <v>4</v>
      </c>
      <c r="F6" s="1933" t="s">
        <v>1754</v>
      </c>
      <c r="G6" s="1934">
        <f>Summary!E19</f>
        <v>7.8753228702809831E-4</v>
      </c>
      <c r="H6" s="1933"/>
      <c r="I6" s="1933"/>
      <c r="J6" s="1933"/>
      <c r="K6" s="1933"/>
      <c r="L6" s="1933"/>
      <c r="M6" s="1933"/>
      <c r="N6" s="1933"/>
      <c r="O6" s="1933"/>
      <c r="P6" s="1933"/>
      <c r="Q6" s="1933"/>
      <c r="R6" s="1933"/>
      <c r="S6" s="1933"/>
      <c r="T6" s="1933"/>
      <c r="U6" s="1933"/>
      <c r="V6" s="1933"/>
      <c r="W6" s="1933"/>
      <c r="X6" s="1933"/>
      <c r="Y6" s="1933"/>
      <c r="Z6" s="1933"/>
    </row>
    <row r="7" spans="1:26" ht="12" x14ac:dyDescent="0.2">
      <c r="A7" s="1933" t="str">
        <f>MID(Summary!$B$1,FIND(" ",Summary!$B$1,1)+1,4)</f>
        <v>2006</v>
      </c>
      <c r="B7" s="1933" t="s">
        <v>1753</v>
      </c>
      <c r="C7" s="1933" t="s">
        <v>31</v>
      </c>
      <c r="D7" s="1933" t="s">
        <v>63</v>
      </c>
      <c r="E7" s="1933" t="s">
        <v>5</v>
      </c>
      <c r="F7" s="1933" t="s">
        <v>1754</v>
      </c>
      <c r="G7" s="1934">
        <f>Summary!E20</f>
        <v>7.7059610881244041E-4</v>
      </c>
      <c r="H7" s="1933"/>
      <c r="I7" s="1933"/>
      <c r="J7" s="1933"/>
      <c r="K7" s="1933"/>
      <c r="L7" s="1933"/>
      <c r="M7" s="1933"/>
      <c r="N7" s="1933"/>
      <c r="O7" s="1933"/>
      <c r="P7" s="1933"/>
      <c r="Q7" s="1933"/>
      <c r="R7" s="1933"/>
      <c r="S7" s="1933"/>
      <c r="T7" s="1933"/>
      <c r="U7" s="1933"/>
      <c r="V7" s="1933"/>
      <c r="W7" s="1933"/>
      <c r="X7" s="1933"/>
      <c r="Y7" s="1933"/>
      <c r="Z7" s="1933"/>
    </row>
    <row r="8" spans="1:26" ht="12" x14ac:dyDescent="0.2">
      <c r="A8" s="1933" t="str">
        <f>MID(Summary!$B$1,FIND(" ",Summary!$B$1,1)+1,4)</f>
        <v>2006</v>
      </c>
      <c r="B8" s="1933" t="s">
        <v>1753</v>
      </c>
      <c r="C8" s="1933" t="s">
        <v>31</v>
      </c>
      <c r="D8" s="1933" t="s">
        <v>83</v>
      </c>
      <c r="E8" s="1933" t="s">
        <v>3</v>
      </c>
      <c r="F8" s="1933" t="s">
        <v>1754</v>
      </c>
      <c r="G8" s="1934">
        <f>Summary!E22</f>
        <v>0.23657260855402951</v>
      </c>
      <c r="H8" s="1933"/>
      <c r="I8" s="1933"/>
      <c r="J8" s="1933"/>
      <c r="K8" s="1933"/>
      <c r="L8" s="1933"/>
      <c r="M8" s="1933"/>
      <c r="N8" s="1933"/>
      <c r="O8" s="1933"/>
      <c r="P8" s="1933"/>
      <c r="Q8" s="1933"/>
      <c r="R8" s="1933"/>
      <c r="S8" s="1933"/>
      <c r="T8" s="1933"/>
      <c r="U8" s="1933"/>
      <c r="V8" s="1933"/>
      <c r="W8" s="1933"/>
      <c r="X8" s="1933"/>
      <c r="Y8" s="1933"/>
      <c r="Z8" s="1933"/>
    </row>
    <row r="9" spans="1:26" ht="12" x14ac:dyDescent="0.2">
      <c r="A9" s="1933" t="str">
        <f>MID(Summary!$B$1,FIND(" ",Summary!$B$1,1)+1,4)</f>
        <v>2006</v>
      </c>
      <c r="B9" s="1933" t="s">
        <v>1753</v>
      </c>
      <c r="C9" s="1933" t="s">
        <v>31</v>
      </c>
      <c r="D9" s="1933" t="s">
        <v>83</v>
      </c>
      <c r="E9" s="1933" t="s">
        <v>4</v>
      </c>
      <c r="F9" s="1933" t="s">
        <v>1754</v>
      </c>
      <c r="G9" s="1934">
        <f>Summary!E23</f>
        <v>2.3636585951929698E-4</v>
      </c>
      <c r="H9" s="1933"/>
      <c r="I9" s="1933"/>
      <c r="J9" s="1933"/>
      <c r="K9" s="1933"/>
      <c r="L9" s="1933"/>
      <c r="M9" s="1933"/>
      <c r="N9" s="1933"/>
      <c r="O9" s="1933"/>
      <c r="P9" s="1933"/>
      <c r="Q9" s="1933"/>
      <c r="R9" s="1933"/>
      <c r="S9" s="1933"/>
      <c r="T9" s="1933"/>
      <c r="U9" s="1933"/>
      <c r="V9" s="1933"/>
      <c r="W9" s="1933"/>
      <c r="X9" s="1933"/>
      <c r="Y9" s="1933"/>
      <c r="Z9" s="1933"/>
    </row>
    <row r="10" spans="1:26" ht="12" x14ac:dyDescent="0.2">
      <c r="A10" s="1933" t="str">
        <f>MID(Summary!$B$1,FIND(" ",Summary!$B$1,1)+1,4)</f>
        <v>2006</v>
      </c>
      <c r="B10" s="1933" t="s">
        <v>1753</v>
      </c>
      <c r="C10" s="1933" t="s">
        <v>31</v>
      </c>
      <c r="D10" s="1933" t="s">
        <v>83</v>
      </c>
      <c r="E10" s="1933" t="s">
        <v>5</v>
      </c>
      <c r="F10" s="1933" t="s">
        <v>1754</v>
      </c>
      <c r="G10" s="1934">
        <f>Summary!E24</f>
        <v>4.6256544551088216E-4</v>
      </c>
      <c r="H10" s="1933"/>
      <c r="I10" s="1933"/>
      <c r="J10" s="1933"/>
      <c r="K10" s="1933"/>
      <c r="L10" s="1933"/>
      <c r="M10" s="1933"/>
      <c r="N10" s="1933"/>
      <c r="O10" s="1933"/>
      <c r="P10" s="1933"/>
      <c r="Q10" s="1933"/>
      <c r="R10" s="1933"/>
      <c r="S10" s="1933"/>
      <c r="T10" s="1933"/>
      <c r="U10" s="1933"/>
      <c r="V10" s="1933"/>
      <c r="W10" s="1933"/>
      <c r="X10" s="1933"/>
      <c r="Y10" s="1933"/>
      <c r="Z10" s="1933"/>
    </row>
    <row r="11" spans="1:26" ht="12" x14ac:dyDescent="0.2">
      <c r="A11" s="1933" t="str">
        <f>MID(Summary!$B$1,FIND(" ",Summary!$B$1,1)+1,4)</f>
        <v>2006</v>
      </c>
      <c r="B11" s="1933" t="s">
        <v>1753</v>
      </c>
      <c r="C11" s="1933" t="s">
        <v>31</v>
      </c>
      <c r="D11" s="1933" t="s">
        <v>103</v>
      </c>
      <c r="E11" s="1933" t="s">
        <v>3</v>
      </c>
      <c r="F11" s="1933" t="s">
        <v>1754</v>
      </c>
      <c r="G11" s="1934">
        <f>Summary!E26</f>
        <v>0</v>
      </c>
      <c r="H11" s="1933"/>
      <c r="I11" s="1933"/>
      <c r="J11" s="1933"/>
      <c r="K11" s="1933"/>
      <c r="L11" s="1933"/>
      <c r="M11" s="1933"/>
      <c r="N11" s="1933"/>
      <c r="O11" s="1933"/>
      <c r="P11" s="1933"/>
      <c r="Q11" s="1933"/>
      <c r="R11" s="1933"/>
      <c r="S11" s="1933"/>
      <c r="T11" s="1933"/>
      <c r="U11" s="1933"/>
      <c r="V11" s="1933"/>
      <c r="W11" s="1933"/>
      <c r="X11" s="1933"/>
      <c r="Y11" s="1933"/>
      <c r="Z11" s="1933"/>
    </row>
    <row r="12" spans="1:26" ht="12" x14ac:dyDescent="0.2">
      <c r="A12" s="1933" t="str">
        <f>MID(Summary!$B$1,FIND(" ",Summary!$B$1,1)+1,4)</f>
        <v>2006</v>
      </c>
      <c r="B12" s="1933" t="s">
        <v>1753</v>
      </c>
      <c r="C12" s="1933" t="s">
        <v>31</v>
      </c>
      <c r="D12" s="1933" t="s">
        <v>103</v>
      </c>
      <c r="E12" s="1933" t="s">
        <v>4</v>
      </c>
      <c r="F12" s="1933" t="s">
        <v>1754</v>
      </c>
      <c r="G12" s="1934">
        <f>Summary!E27</f>
        <v>0</v>
      </c>
      <c r="H12" s="1933"/>
      <c r="I12" s="1933"/>
      <c r="J12" s="1933"/>
      <c r="K12" s="1933"/>
      <c r="L12" s="1933"/>
      <c r="M12" s="1933"/>
      <c r="N12" s="1933"/>
      <c r="O12" s="1933"/>
      <c r="P12" s="1933"/>
      <c r="Q12" s="1933"/>
      <c r="R12" s="1933"/>
      <c r="S12" s="1933"/>
      <c r="T12" s="1933"/>
      <c r="U12" s="1933"/>
      <c r="V12" s="1933"/>
      <c r="W12" s="1933"/>
      <c r="X12" s="1933"/>
      <c r="Y12" s="1933"/>
      <c r="Z12" s="1933"/>
    </row>
    <row r="13" spans="1:26" ht="12" x14ac:dyDescent="0.2">
      <c r="A13" s="1933" t="str">
        <f>MID(Summary!$B$1,FIND(" ",Summary!$B$1,1)+1,4)</f>
        <v>2006</v>
      </c>
      <c r="B13" s="1933" t="s">
        <v>1753</v>
      </c>
      <c r="C13" s="1933" t="s">
        <v>31</v>
      </c>
      <c r="D13" s="1933" t="s">
        <v>103</v>
      </c>
      <c r="E13" s="1933" t="s">
        <v>5</v>
      </c>
      <c r="F13" s="1933" t="s">
        <v>1754</v>
      </c>
      <c r="G13" s="1934">
        <f>Summary!E28</f>
        <v>0</v>
      </c>
      <c r="H13" s="1933"/>
      <c r="I13" s="1933"/>
      <c r="J13" s="1933"/>
      <c r="K13" s="1933"/>
      <c r="L13" s="1933"/>
      <c r="M13" s="1933"/>
      <c r="N13" s="1933"/>
      <c r="O13" s="1933"/>
      <c r="P13" s="1933"/>
      <c r="Q13" s="1933"/>
      <c r="R13" s="1933"/>
      <c r="S13" s="1933"/>
      <c r="T13" s="1933"/>
      <c r="U13" s="1933"/>
      <c r="V13" s="1933"/>
      <c r="W13" s="1933"/>
      <c r="X13" s="1933"/>
      <c r="Y13" s="1933"/>
      <c r="Z13" s="1933"/>
    </row>
    <row r="14" spans="1:26" ht="12" x14ac:dyDescent="0.2">
      <c r="A14" s="1933" t="str">
        <f>MID(Summary!$B$1,FIND(" ",Summary!$B$1,1)+1,4)</f>
        <v>2006</v>
      </c>
      <c r="B14" s="1933" t="s">
        <v>1753</v>
      </c>
      <c r="C14" s="1933" t="s">
        <v>1755</v>
      </c>
      <c r="D14" s="1933" t="s">
        <v>1755</v>
      </c>
      <c r="E14" s="1933" t="s">
        <v>3</v>
      </c>
      <c r="F14" s="1933" t="s">
        <v>1754</v>
      </c>
      <c r="G14" s="1934">
        <f>Summary!E29</f>
        <v>10.310826910434773</v>
      </c>
      <c r="H14" s="1933"/>
      <c r="I14" s="1933"/>
      <c r="J14" s="1933"/>
      <c r="K14" s="1933"/>
      <c r="L14" s="1933"/>
      <c r="M14" s="1933"/>
      <c r="N14" s="1933"/>
      <c r="O14" s="1933"/>
      <c r="P14" s="1933"/>
      <c r="Q14" s="1933"/>
      <c r="R14" s="1933"/>
      <c r="S14" s="1933"/>
      <c r="T14" s="1933"/>
      <c r="U14" s="1933"/>
      <c r="V14" s="1933"/>
      <c r="W14" s="1933"/>
      <c r="X14" s="1933"/>
      <c r="Y14" s="1933"/>
      <c r="Z14" s="1933"/>
    </row>
    <row r="15" spans="1:26" ht="12" x14ac:dyDescent="0.2">
      <c r="A15" s="1933" t="str">
        <f>MID(Summary!$B$1,FIND(" ",Summary!$B$1,1)+1,4)</f>
        <v>2006</v>
      </c>
      <c r="B15" s="1933" t="s">
        <v>1753</v>
      </c>
      <c r="C15" s="1933" t="s">
        <v>1755</v>
      </c>
      <c r="D15" s="1933" t="s">
        <v>1755</v>
      </c>
      <c r="E15" s="1933" t="s">
        <v>4</v>
      </c>
      <c r="F15" s="1933" t="s">
        <v>1754</v>
      </c>
      <c r="G15" s="1934"/>
      <c r="H15" s="1933"/>
      <c r="I15" s="1933"/>
      <c r="J15" s="1933"/>
      <c r="K15" s="1933"/>
      <c r="L15" s="1933"/>
      <c r="M15" s="1933"/>
      <c r="N15" s="1933"/>
      <c r="O15" s="1933"/>
      <c r="P15" s="1933"/>
      <c r="Q15" s="1933"/>
      <c r="R15" s="1933"/>
      <c r="S15" s="1933"/>
      <c r="T15" s="1933"/>
      <c r="U15" s="1933"/>
      <c r="V15" s="1933"/>
      <c r="W15" s="1933"/>
      <c r="X15" s="1933"/>
      <c r="Y15" s="1933"/>
      <c r="Z15" s="1933"/>
    </row>
    <row r="16" spans="1:26" ht="12" x14ac:dyDescent="0.2">
      <c r="A16" s="1933" t="str">
        <f>MID(Summary!$B$1,FIND(" ",Summary!$B$1,1)+1,4)</f>
        <v>2006</v>
      </c>
      <c r="B16" s="1933" t="s">
        <v>1753</v>
      </c>
      <c r="C16" s="1933" t="s">
        <v>1755</v>
      </c>
      <c r="D16" s="1933" t="s">
        <v>1755</v>
      </c>
      <c r="E16" s="1933" t="s">
        <v>5</v>
      </c>
      <c r="F16" s="1933" t="s">
        <v>1754</v>
      </c>
      <c r="G16" s="1934"/>
      <c r="H16" s="1933"/>
      <c r="I16" s="1933"/>
      <c r="J16" s="1933"/>
      <c r="K16" s="1933"/>
      <c r="L16" s="1933"/>
      <c r="M16" s="1933"/>
      <c r="N16" s="1933"/>
      <c r="O16" s="1933"/>
      <c r="P16" s="1933"/>
      <c r="Q16" s="1933"/>
      <c r="R16" s="1933"/>
      <c r="S16" s="1933"/>
      <c r="T16" s="1933"/>
      <c r="U16" s="1933"/>
      <c r="V16" s="1933"/>
      <c r="W16" s="1933"/>
      <c r="X16" s="1933"/>
      <c r="Y16" s="1933"/>
      <c r="Z16" s="1933"/>
    </row>
    <row r="17" spans="1:26" ht="12" x14ac:dyDescent="0.2">
      <c r="A17" s="1933" t="str">
        <f>MID(Summary!$B$1,FIND(" ",Summary!$B$1,1)+1,4)</f>
        <v>2006</v>
      </c>
      <c r="B17" s="1933" t="s">
        <v>1753</v>
      </c>
      <c r="C17" s="1933" t="s">
        <v>31</v>
      </c>
      <c r="D17" s="1933" t="s">
        <v>40</v>
      </c>
      <c r="E17" s="1933" t="s">
        <v>3</v>
      </c>
      <c r="F17" s="1933" t="s">
        <v>1756</v>
      </c>
      <c r="G17" s="1934">
        <f>Summary!D14</f>
        <v>28.130573867498466</v>
      </c>
      <c r="H17" s="1933"/>
      <c r="I17" s="1933"/>
      <c r="J17" s="1933"/>
      <c r="K17" s="1933"/>
      <c r="L17" s="1933"/>
      <c r="M17" s="1933"/>
      <c r="N17" s="1933"/>
      <c r="O17" s="1933"/>
      <c r="P17" s="1933"/>
      <c r="Q17" s="1933"/>
      <c r="R17" s="1933"/>
      <c r="S17" s="1933"/>
      <c r="T17" s="1933"/>
      <c r="U17" s="1933"/>
      <c r="V17" s="1933"/>
      <c r="W17" s="1933"/>
      <c r="X17" s="1933"/>
      <c r="Y17" s="1933"/>
      <c r="Z17" s="1933"/>
    </row>
    <row r="18" spans="1:26" ht="12" x14ac:dyDescent="0.2">
      <c r="A18" s="1933" t="str">
        <f>MID(Summary!$B$1,FIND(" ",Summary!$B$1,1)+1,4)</f>
        <v>2006</v>
      </c>
      <c r="B18" s="1933" t="s">
        <v>1753</v>
      </c>
      <c r="C18" s="1933" t="s">
        <v>31</v>
      </c>
      <c r="D18" s="1933" t="s">
        <v>40</v>
      </c>
      <c r="E18" s="1933" t="s">
        <v>4</v>
      </c>
      <c r="F18" s="1933" t="s">
        <v>1756</v>
      </c>
      <c r="G18" s="1934">
        <f>Summary!D15</f>
        <v>2.4580073216379835E-2</v>
      </c>
      <c r="H18" s="1933"/>
      <c r="I18" s="1933"/>
      <c r="J18" s="1933"/>
      <c r="K18" s="1933"/>
      <c r="L18" s="1933"/>
      <c r="M18" s="1933"/>
      <c r="N18" s="1933"/>
      <c r="O18" s="1933"/>
      <c r="P18" s="1933"/>
      <c r="Q18" s="1933"/>
      <c r="R18" s="1933"/>
      <c r="S18" s="1933"/>
      <c r="T18" s="1933"/>
      <c r="U18" s="1933"/>
      <c r="V18" s="1933"/>
      <c r="W18" s="1933"/>
      <c r="X18" s="1933"/>
      <c r="Y18" s="1933"/>
      <c r="Z18" s="1933"/>
    </row>
    <row r="19" spans="1:26" ht="12" x14ac:dyDescent="0.2">
      <c r="A19" s="1933" t="str">
        <f>MID(Summary!$B$1,FIND(" ",Summary!$B$1,1)+1,4)</f>
        <v>2006</v>
      </c>
      <c r="B19" s="1933" t="s">
        <v>1753</v>
      </c>
      <c r="C19" s="1933" t="s">
        <v>31</v>
      </c>
      <c r="D19" s="1933" t="s">
        <v>40</v>
      </c>
      <c r="E19" s="1933" t="s">
        <v>5</v>
      </c>
      <c r="F19" s="1933" t="s">
        <v>1756</v>
      </c>
      <c r="G19" s="1934">
        <f>Summary!D16</f>
        <v>0.12395985199639828</v>
      </c>
      <c r="H19" s="1933"/>
      <c r="I19" s="1933"/>
      <c r="J19" s="1933"/>
      <c r="K19" s="1933"/>
      <c r="L19" s="1933"/>
      <c r="M19" s="1933"/>
      <c r="N19" s="1933"/>
      <c r="O19" s="1933"/>
      <c r="P19" s="1933"/>
      <c r="Q19" s="1933"/>
      <c r="R19" s="1933"/>
      <c r="S19" s="1933"/>
      <c r="T19" s="1933"/>
      <c r="U19" s="1933"/>
      <c r="V19" s="1933"/>
      <c r="W19" s="1933"/>
      <c r="X19" s="1933"/>
      <c r="Y19" s="1933"/>
      <c r="Z19" s="1933"/>
    </row>
    <row r="20" spans="1:26" ht="12" x14ac:dyDescent="0.2">
      <c r="A20" s="1933" t="str">
        <f>MID(Summary!$B$1,FIND(" ",Summary!$B$1,1)+1,4)</f>
        <v>2006</v>
      </c>
      <c r="B20" s="1933" t="s">
        <v>1753</v>
      </c>
      <c r="C20" s="1933" t="s">
        <v>31</v>
      </c>
      <c r="D20" s="1933" t="s">
        <v>63</v>
      </c>
      <c r="E20" s="1933" t="s">
        <v>3</v>
      </c>
      <c r="F20" s="1933" t="s">
        <v>1756</v>
      </c>
      <c r="G20" s="1934">
        <f>Summary!D18</f>
        <v>3.6484130104806791</v>
      </c>
      <c r="H20" s="1933"/>
      <c r="I20" s="1933"/>
      <c r="J20" s="1933"/>
      <c r="K20" s="1933"/>
      <c r="L20" s="1933"/>
      <c r="M20" s="1933"/>
      <c r="N20" s="1933"/>
      <c r="O20" s="1933"/>
      <c r="P20" s="1933"/>
      <c r="Q20" s="1933"/>
      <c r="R20" s="1933"/>
      <c r="S20" s="1933"/>
      <c r="T20" s="1933"/>
      <c r="U20" s="1933"/>
      <c r="V20" s="1933"/>
      <c r="W20" s="1933"/>
      <c r="X20" s="1933"/>
      <c r="Y20" s="1933"/>
      <c r="Z20" s="1933"/>
    </row>
    <row r="21" spans="1:26" ht="12" x14ac:dyDescent="0.2">
      <c r="A21" s="1933" t="str">
        <f>MID(Summary!$B$1,FIND(" ",Summary!$B$1,1)+1,4)</f>
        <v>2006</v>
      </c>
      <c r="B21" s="1933" t="s">
        <v>1753</v>
      </c>
      <c r="C21" s="1933" t="s">
        <v>31</v>
      </c>
      <c r="D21" s="1933" t="s">
        <v>63</v>
      </c>
      <c r="E21" s="1933" t="s">
        <v>4</v>
      </c>
      <c r="F21" s="1933" t="s">
        <v>1756</v>
      </c>
      <c r="G21" s="1934">
        <f>Summary!D19</f>
        <v>2.2920294518523864E-3</v>
      </c>
      <c r="H21" s="1933"/>
      <c r="I21" s="1933"/>
      <c r="J21" s="1933"/>
      <c r="K21" s="1933"/>
      <c r="L21" s="1933"/>
      <c r="M21" s="1933"/>
      <c r="N21" s="1933"/>
      <c r="O21" s="1933"/>
      <c r="P21" s="1933"/>
      <c r="Q21" s="1933"/>
      <c r="R21" s="1933"/>
      <c r="S21" s="1933"/>
      <c r="T21" s="1933"/>
      <c r="U21" s="1933"/>
      <c r="V21" s="1933"/>
      <c r="W21" s="1933"/>
      <c r="X21" s="1933"/>
      <c r="Y21" s="1933"/>
      <c r="Z21" s="1933"/>
    </row>
    <row r="22" spans="1:26" ht="12" x14ac:dyDescent="0.2">
      <c r="A22" s="1933" t="str">
        <f>MID(Summary!$B$1,FIND(" ",Summary!$B$1,1)+1,4)</f>
        <v>2006</v>
      </c>
      <c r="B22" s="1933" t="s">
        <v>1753</v>
      </c>
      <c r="C22" s="1933" t="s">
        <v>31</v>
      </c>
      <c r="D22" s="1933" t="s">
        <v>63</v>
      </c>
      <c r="E22" s="1933" t="s">
        <v>5</v>
      </c>
      <c r="F22" s="1933" t="s">
        <v>1756</v>
      </c>
      <c r="G22" s="1934">
        <f>Summary!D20</f>
        <v>7.7059610881244041E-4</v>
      </c>
      <c r="H22" s="1933"/>
      <c r="I22" s="1933"/>
      <c r="J22" s="1933"/>
      <c r="K22" s="1933"/>
      <c r="L22" s="1933"/>
      <c r="M22" s="1933"/>
      <c r="N22" s="1933"/>
      <c r="O22" s="1933"/>
      <c r="P22" s="1933"/>
      <c r="Q22" s="1933"/>
      <c r="R22" s="1933"/>
      <c r="S22" s="1933"/>
      <c r="T22" s="1933"/>
      <c r="U22" s="1933"/>
      <c r="V22" s="1933"/>
      <c r="W22" s="1933"/>
      <c r="X22" s="1933"/>
      <c r="Y22" s="1933"/>
      <c r="Z22" s="1933"/>
    </row>
    <row r="23" spans="1:26" ht="12" x14ac:dyDescent="0.2">
      <c r="A23" s="1933" t="str">
        <f>MID(Summary!$B$1,FIND(" ",Summary!$B$1,1)+1,4)</f>
        <v>2006</v>
      </c>
      <c r="B23" s="1933" t="s">
        <v>1753</v>
      </c>
      <c r="C23" s="1933" t="s">
        <v>31</v>
      </c>
      <c r="D23" s="1933" t="s">
        <v>83</v>
      </c>
      <c r="E23" s="1933" t="s">
        <v>3</v>
      </c>
      <c r="F23" s="1933" t="s">
        <v>1756</v>
      </c>
      <c r="G23" s="1934">
        <f>Summary!D22</f>
        <v>0.23657260855402951</v>
      </c>
      <c r="H23" s="1933"/>
      <c r="I23" s="1933"/>
      <c r="J23" s="1933"/>
      <c r="K23" s="1933"/>
      <c r="L23" s="1933"/>
      <c r="M23" s="1933"/>
      <c r="N23" s="1933"/>
      <c r="O23" s="1933"/>
      <c r="P23" s="1933"/>
      <c r="Q23" s="1933"/>
      <c r="R23" s="1933"/>
      <c r="S23" s="1933"/>
      <c r="T23" s="1933"/>
      <c r="U23" s="1933"/>
      <c r="V23" s="1933"/>
      <c r="W23" s="1933"/>
      <c r="X23" s="1933"/>
      <c r="Y23" s="1933"/>
      <c r="Z23" s="1933"/>
    </row>
    <row r="24" spans="1:26" ht="12" x14ac:dyDescent="0.2">
      <c r="A24" s="1933" t="str">
        <f>MID(Summary!$B$1,FIND(" ",Summary!$B$1,1)+1,4)</f>
        <v>2006</v>
      </c>
      <c r="B24" s="1933" t="s">
        <v>1753</v>
      </c>
      <c r="C24" s="1933" t="s">
        <v>31</v>
      </c>
      <c r="D24" s="1933" t="s">
        <v>83</v>
      </c>
      <c r="E24" s="1933" t="s">
        <v>4</v>
      </c>
      <c r="F24" s="1933" t="s">
        <v>1756</v>
      </c>
      <c r="G24" s="1934">
        <f>Summary!D23</f>
        <v>6.8791784204182507E-4</v>
      </c>
      <c r="H24" s="1933"/>
      <c r="I24" s="1933"/>
      <c r="J24" s="1933"/>
      <c r="K24" s="1933"/>
      <c r="L24" s="1933"/>
      <c r="M24" s="1933"/>
      <c r="N24" s="1933"/>
      <c r="O24" s="1933"/>
      <c r="P24" s="1933"/>
      <c r="Q24" s="1933"/>
      <c r="R24" s="1933"/>
      <c r="S24" s="1933"/>
      <c r="T24" s="1933"/>
      <c r="U24" s="1933"/>
      <c r="V24" s="1933"/>
      <c r="W24" s="1933"/>
      <c r="X24" s="1933"/>
      <c r="Y24" s="1933"/>
      <c r="Z24" s="1933"/>
    </row>
    <row r="25" spans="1:26" ht="12" x14ac:dyDescent="0.2">
      <c r="A25" s="1933" t="str">
        <f>MID(Summary!$B$1,FIND(" ",Summary!$B$1,1)+1,4)</f>
        <v>2006</v>
      </c>
      <c r="B25" s="1933" t="s">
        <v>1753</v>
      </c>
      <c r="C25" s="1933" t="s">
        <v>31</v>
      </c>
      <c r="D25" s="1933" t="s">
        <v>83</v>
      </c>
      <c r="E25" s="1933" t="s">
        <v>5</v>
      </c>
      <c r="F25" s="1933" t="s">
        <v>1756</v>
      </c>
      <c r="G25" s="1934">
        <f>Summary!D24</f>
        <v>4.6256544551088216E-4</v>
      </c>
      <c r="H25" s="1933"/>
      <c r="I25" s="1933"/>
      <c r="J25" s="1933"/>
      <c r="K25" s="1933"/>
      <c r="L25" s="1933"/>
      <c r="M25" s="1933"/>
      <c r="N25" s="1933"/>
      <c r="O25" s="1933"/>
      <c r="P25" s="1933"/>
      <c r="Q25" s="1933"/>
      <c r="R25" s="1933"/>
      <c r="S25" s="1933"/>
      <c r="T25" s="1933"/>
      <c r="U25" s="1933"/>
      <c r="V25" s="1933"/>
      <c r="W25" s="1933"/>
      <c r="X25" s="1933"/>
      <c r="Y25" s="1933"/>
      <c r="Z25" s="1933"/>
    </row>
    <row r="26" spans="1:26" ht="12" x14ac:dyDescent="0.2">
      <c r="A26" s="1933" t="str">
        <f>MID(Summary!$B$1,FIND(" ",Summary!$B$1,1)+1,4)</f>
        <v>2006</v>
      </c>
      <c r="B26" s="1933" t="s">
        <v>1753</v>
      </c>
      <c r="C26" s="1933" t="s">
        <v>31</v>
      </c>
      <c r="D26" s="1933" t="s">
        <v>103</v>
      </c>
      <c r="E26" s="1933" t="s">
        <v>3</v>
      </c>
      <c r="F26" s="1933" t="s">
        <v>1756</v>
      </c>
      <c r="G26" s="1934">
        <f>Summary!D26</f>
        <v>0</v>
      </c>
      <c r="H26" s="1933"/>
      <c r="I26" s="1933"/>
      <c r="J26" s="1933"/>
      <c r="K26" s="1933"/>
      <c r="L26" s="1933"/>
      <c r="M26" s="1933"/>
      <c r="N26" s="1933"/>
      <c r="O26" s="1933"/>
      <c r="P26" s="1933"/>
      <c r="Q26" s="1933"/>
      <c r="R26" s="1933"/>
      <c r="S26" s="1933"/>
      <c r="T26" s="1933"/>
      <c r="U26" s="1933"/>
      <c r="V26" s="1933"/>
      <c r="W26" s="1933"/>
      <c r="X26" s="1933"/>
      <c r="Y26" s="1933"/>
      <c r="Z26" s="1933"/>
    </row>
    <row r="27" spans="1:26" ht="12" x14ac:dyDescent="0.2">
      <c r="A27" s="1933" t="str">
        <f>MID(Summary!$B$1,FIND(" ",Summary!$B$1,1)+1,4)</f>
        <v>2006</v>
      </c>
      <c r="B27" s="1933" t="s">
        <v>1753</v>
      </c>
      <c r="C27" s="1933" t="s">
        <v>31</v>
      </c>
      <c r="D27" s="1933" t="s">
        <v>103</v>
      </c>
      <c r="E27" s="1933" t="s">
        <v>4</v>
      </c>
      <c r="F27" s="1933" t="s">
        <v>1756</v>
      </c>
      <c r="G27" s="1934">
        <f>Summary!D27</f>
        <v>0</v>
      </c>
      <c r="H27" s="1933"/>
      <c r="I27" s="1933"/>
      <c r="J27" s="1933"/>
      <c r="K27" s="1933"/>
      <c r="L27" s="1933"/>
      <c r="M27" s="1933"/>
      <c r="N27" s="1933"/>
      <c r="O27" s="1933"/>
      <c r="P27" s="1933"/>
      <c r="Q27" s="1933"/>
      <c r="R27" s="1933"/>
      <c r="S27" s="1933"/>
      <c r="T27" s="1933"/>
      <c r="U27" s="1933"/>
      <c r="V27" s="1933"/>
      <c r="W27" s="1933"/>
      <c r="X27" s="1933"/>
      <c r="Y27" s="1933"/>
      <c r="Z27" s="1933"/>
    </row>
    <row r="28" spans="1:26" ht="12" x14ac:dyDescent="0.2">
      <c r="A28" s="1933" t="str">
        <f>MID(Summary!$B$1,FIND(" ",Summary!$B$1,1)+1,4)</f>
        <v>2006</v>
      </c>
      <c r="B28" s="1933" t="s">
        <v>1753</v>
      </c>
      <c r="C28" s="1933" t="s">
        <v>31</v>
      </c>
      <c r="D28" s="1933" t="s">
        <v>103</v>
      </c>
      <c r="E28" s="1933" t="s">
        <v>5</v>
      </c>
      <c r="F28" s="1933" t="s">
        <v>1756</v>
      </c>
      <c r="G28" s="1934">
        <f>Summary!D28</f>
        <v>0</v>
      </c>
      <c r="H28" s="1933"/>
      <c r="I28" s="1933"/>
      <c r="J28" s="1933"/>
      <c r="K28" s="1933"/>
      <c r="L28" s="1933"/>
      <c r="M28" s="1933"/>
      <c r="N28" s="1933"/>
      <c r="O28" s="1933"/>
      <c r="P28" s="1933"/>
      <c r="Q28" s="1933"/>
      <c r="R28" s="1933"/>
      <c r="S28" s="1933"/>
      <c r="T28" s="1933"/>
      <c r="U28" s="1933"/>
      <c r="V28" s="1933"/>
      <c r="W28" s="1933"/>
      <c r="X28" s="1933"/>
      <c r="Y28" s="1933"/>
      <c r="Z28" s="1933"/>
    </row>
    <row r="29" spans="1:26" ht="12" x14ac:dyDescent="0.2">
      <c r="A29" s="1933" t="str">
        <f>MID(Summary!$B$1,FIND(" ",Summary!$B$1,1)+1,4)</f>
        <v>2006</v>
      </c>
      <c r="B29" s="1933" t="s">
        <v>1753</v>
      </c>
      <c r="C29" s="1933" t="s">
        <v>1755</v>
      </c>
      <c r="D29" s="1933" t="s">
        <v>1755</v>
      </c>
      <c r="E29" s="1933" t="s">
        <v>3</v>
      </c>
      <c r="F29" s="1933" t="s">
        <v>1756</v>
      </c>
      <c r="G29" s="1934">
        <f>Summary!D29</f>
        <v>10.310826910434773</v>
      </c>
      <c r="H29" s="1933"/>
      <c r="I29" s="1933"/>
      <c r="J29" s="1933"/>
      <c r="K29" s="1933"/>
      <c r="L29" s="1933"/>
      <c r="M29" s="1933"/>
      <c r="N29" s="1933"/>
      <c r="O29" s="1933"/>
      <c r="P29" s="1933"/>
      <c r="Q29" s="1933"/>
      <c r="R29" s="1933"/>
      <c r="S29" s="1933"/>
      <c r="T29" s="1933"/>
      <c r="U29" s="1933"/>
      <c r="V29" s="1933"/>
      <c r="W29" s="1933"/>
      <c r="X29" s="1933"/>
      <c r="Y29" s="1933"/>
      <c r="Z29" s="1933"/>
    </row>
    <row r="30" spans="1:26" ht="12" x14ac:dyDescent="0.2">
      <c r="A30" s="1933" t="str">
        <f>MID(Summary!$B$1,FIND(" ",Summary!$B$1,1)+1,4)</f>
        <v>2006</v>
      </c>
      <c r="B30" s="1933" t="s">
        <v>1753</v>
      </c>
      <c r="C30" s="1933" t="s">
        <v>1755</v>
      </c>
      <c r="D30" s="1933" t="s">
        <v>1755</v>
      </c>
      <c r="E30" s="1933" t="s">
        <v>4</v>
      </c>
      <c r="F30" s="1933" t="s">
        <v>1756</v>
      </c>
      <c r="G30" s="1934"/>
      <c r="H30" s="1933"/>
      <c r="I30" s="1933"/>
      <c r="J30" s="1933"/>
      <c r="K30" s="1933"/>
      <c r="L30" s="1933"/>
      <c r="M30" s="1933"/>
      <c r="N30" s="1933"/>
      <c r="O30" s="1933"/>
      <c r="P30" s="1933"/>
      <c r="Q30" s="1933"/>
      <c r="R30" s="1933"/>
      <c r="S30" s="1933"/>
      <c r="T30" s="1933"/>
      <c r="U30" s="1933"/>
      <c r="V30" s="1933"/>
      <c r="W30" s="1933"/>
      <c r="X30" s="1933"/>
      <c r="Y30" s="1933"/>
      <c r="Z30" s="1933"/>
    </row>
    <row r="31" spans="1:26" ht="12" x14ac:dyDescent="0.2">
      <c r="A31" s="1933" t="str">
        <f>MID(Summary!$B$1,FIND(" ",Summary!$B$1,1)+1,4)</f>
        <v>2006</v>
      </c>
      <c r="B31" s="1933" t="s">
        <v>1753</v>
      </c>
      <c r="C31" s="1933" t="s">
        <v>1755</v>
      </c>
      <c r="D31" s="1933" t="s">
        <v>1755</v>
      </c>
      <c r="E31" s="1933" t="s">
        <v>5</v>
      </c>
      <c r="F31" s="1933" t="s">
        <v>1756</v>
      </c>
      <c r="G31" s="1934"/>
      <c r="H31" s="1933"/>
      <c r="I31" s="1933"/>
      <c r="J31" s="1933"/>
      <c r="K31" s="1933"/>
      <c r="L31" s="1933"/>
      <c r="M31" s="1933"/>
      <c r="N31" s="1933"/>
      <c r="O31" s="1933"/>
      <c r="P31" s="1933"/>
      <c r="Q31" s="1933"/>
      <c r="R31" s="1933"/>
      <c r="S31" s="1933"/>
      <c r="T31" s="1933"/>
      <c r="U31" s="1933"/>
      <c r="V31" s="1933"/>
      <c r="W31" s="1933"/>
      <c r="X31" s="1933"/>
      <c r="Y31" s="1933"/>
      <c r="Z31" s="1933"/>
    </row>
    <row r="32" spans="1:26" ht="12" x14ac:dyDescent="0.2">
      <c r="A32" s="1933" t="str">
        <f>MID(Summary!$B$1,FIND(" ",Summary!$B$1,1)+1,4)</f>
        <v>2006</v>
      </c>
      <c r="B32" s="1933" t="s">
        <v>1757</v>
      </c>
      <c r="C32" s="1933" t="s">
        <v>150</v>
      </c>
      <c r="D32" s="1933" t="s">
        <v>40</v>
      </c>
      <c r="E32" s="1933" t="s">
        <v>3</v>
      </c>
      <c r="F32" s="1933" t="s">
        <v>1754</v>
      </c>
      <c r="G32" s="1934">
        <f>Residential!C58</f>
        <v>8.8869497395292294E-3</v>
      </c>
      <c r="J32" s="1933"/>
      <c r="K32" s="1933"/>
      <c r="L32" s="1933"/>
      <c r="M32" s="1933"/>
      <c r="N32" s="1933"/>
      <c r="O32" s="1933"/>
      <c r="P32" s="1933"/>
      <c r="Q32" s="1933"/>
      <c r="R32" s="1933"/>
      <c r="S32" s="1933"/>
      <c r="T32" s="1933"/>
      <c r="U32" s="1933"/>
      <c r="V32" s="1933"/>
      <c r="W32" s="1933"/>
      <c r="X32" s="1933"/>
      <c r="Y32" s="1933"/>
      <c r="Z32" s="1933"/>
    </row>
    <row r="33" spans="1:26" ht="12" x14ac:dyDescent="0.2">
      <c r="A33" s="1933" t="str">
        <f>MID(Summary!$B$1,FIND(" ",Summary!$B$1,1)+1,4)</f>
        <v>2006</v>
      </c>
      <c r="B33" s="1933" t="s">
        <v>1757</v>
      </c>
      <c r="C33" s="1933" t="s">
        <v>150</v>
      </c>
      <c r="D33" s="1933" t="s">
        <v>40</v>
      </c>
      <c r="E33" s="1933" t="s">
        <v>4</v>
      </c>
      <c r="F33" s="1933" t="s">
        <v>1754</v>
      </c>
      <c r="G33" s="1934">
        <f>Residential!E58</f>
        <v>7.8931364711231895E-4</v>
      </c>
      <c r="J33" s="1933"/>
      <c r="K33" s="1933"/>
      <c r="L33" s="1933"/>
      <c r="M33" s="1933"/>
      <c r="N33" s="1933"/>
      <c r="O33" s="1933"/>
      <c r="P33" s="1933"/>
      <c r="Q33" s="1933"/>
      <c r="R33" s="1933"/>
      <c r="S33" s="1933"/>
      <c r="T33" s="1933"/>
      <c r="U33" s="1933"/>
      <c r="V33" s="1933"/>
      <c r="W33" s="1933"/>
      <c r="X33" s="1933"/>
      <c r="Y33" s="1933"/>
      <c r="Z33" s="1933"/>
    </row>
    <row r="34" spans="1:26" ht="12" x14ac:dyDescent="0.2">
      <c r="A34" s="1933" t="str">
        <f>MID(Summary!$B$1,FIND(" ",Summary!$B$1,1)+1,4)</f>
        <v>2006</v>
      </c>
      <c r="B34" s="1933" t="s">
        <v>1757</v>
      </c>
      <c r="C34" s="1933" t="s">
        <v>150</v>
      </c>
      <c r="D34" s="1933" t="s">
        <v>40</v>
      </c>
      <c r="E34" s="1933" t="s">
        <v>5</v>
      </c>
      <c r="F34" s="1933" t="s">
        <v>1754</v>
      </c>
      <c r="G34" s="1934">
        <f>Residential!D58</f>
        <v>3.8616958003882275E-5</v>
      </c>
      <c r="J34" s="1933"/>
      <c r="K34" s="1933"/>
      <c r="L34" s="1933"/>
      <c r="M34" s="1933"/>
      <c r="N34" s="1933"/>
      <c r="O34" s="1933"/>
      <c r="P34" s="1933"/>
      <c r="Q34" s="1933"/>
      <c r="R34" s="1933"/>
      <c r="S34" s="1933"/>
      <c r="T34" s="1933"/>
      <c r="U34" s="1933"/>
      <c r="V34" s="1933"/>
      <c r="W34" s="1933"/>
      <c r="X34" s="1933"/>
      <c r="Y34" s="1933"/>
      <c r="Z34" s="1933"/>
    </row>
    <row r="35" spans="1:26" ht="12" x14ac:dyDescent="0.2">
      <c r="A35" s="1933" t="str">
        <f>MID(Summary!$B$1,FIND(" ",Summary!$B$1,1)+1,4)</f>
        <v>2006</v>
      </c>
      <c r="B35" s="1933" t="s">
        <v>1757</v>
      </c>
      <c r="C35" s="1933" t="s">
        <v>150</v>
      </c>
      <c r="D35" s="1933" t="s">
        <v>141</v>
      </c>
      <c r="E35" s="1933" t="s">
        <v>3</v>
      </c>
      <c r="F35" s="1933" t="s">
        <v>1754</v>
      </c>
      <c r="G35" s="1934">
        <f>Residential!C59</f>
        <v>4.3315963446256607</v>
      </c>
      <c r="J35" s="1933"/>
      <c r="K35" s="1933"/>
      <c r="L35" s="1933"/>
      <c r="M35" s="1933"/>
      <c r="N35" s="1933"/>
      <c r="O35" s="1933"/>
      <c r="P35" s="1933"/>
      <c r="Q35" s="1933"/>
      <c r="R35" s="1933"/>
      <c r="S35" s="1933"/>
      <c r="T35" s="1933"/>
      <c r="U35" s="1933"/>
      <c r="V35" s="1933"/>
      <c r="W35" s="1933"/>
      <c r="X35" s="1933"/>
      <c r="Y35" s="1933"/>
      <c r="Z35" s="1933"/>
    </row>
    <row r="36" spans="1:26" ht="12" x14ac:dyDescent="0.2">
      <c r="A36" s="1933" t="str">
        <f>MID(Summary!$B$1,FIND(" ",Summary!$B$1,1)+1,4)</f>
        <v>2006</v>
      </c>
      <c r="B36" s="1933" t="s">
        <v>1757</v>
      </c>
      <c r="C36" s="1933" t="s">
        <v>150</v>
      </c>
      <c r="D36" s="1933" t="s">
        <v>141</v>
      </c>
      <c r="E36" s="1933" t="s">
        <v>4</v>
      </c>
      <c r="F36" s="1933" t="s">
        <v>1754</v>
      </c>
      <c r="G36" s="1934">
        <f>Residential!E59</f>
        <v>1.1635548991067371E-2</v>
      </c>
      <c r="J36" s="1933"/>
      <c r="K36" s="1933"/>
      <c r="L36" s="1933"/>
      <c r="M36" s="1933"/>
      <c r="N36" s="1933"/>
      <c r="O36" s="1933"/>
      <c r="P36" s="1933"/>
      <c r="Q36" s="1933"/>
      <c r="R36" s="1933"/>
      <c r="S36" s="1933"/>
      <c r="T36" s="1933"/>
      <c r="U36" s="1933"/>
      <c r="V36" s="1933"/>
      <c r="W36" s="1933"/>
      <c r="X36" s="1933"/>
      <c r="Y36" s="1933"/>
      <c r="Z36" s="1933"/>
    </row>
    <row r="37" spans="1:26" ht="12" x14ac:dyDescent="0.2">
      <c r="A37" s="1933" t="str">
        <f>MID(Summary!$B$1,FIND(" ",Summary!$B$1,1)+1,4)</f>
        <v>2006</v>
      </c>
      <c r="B37" s="1933" t="s">
        <v>1757</v>
      </c>
      <c r="C37" s="1933" t="s">
        <v>150</v>
      </c>
      <c r="D37" s="1933" t="s">
        <v>141</v>
      </c>
      <c r="E37" s="1933" t="s">
        <v>5</v>
      </c>
      <c r="F37" s="1933" t="s">
        <v>1754</v>
      </c>
      <c r="G37" s="1934">
        <f>Residential!D59</f>
        <v>3.0044130548950894E-3</v>
      </c>
      <c r="J37" s="1933"/>
      <c r="K37" s="1933"/>
      <c r="L37" s="1933"/>
      <c r="M37" s="1933"/>
      <c r="N37" s="1933"/>
      <c r="O37" s="1933"/>
      <c r="P37" s="1933"/>
      <c r="Q37" s="1933"/>
      <c r="R37" s="1933"/>
      <c r="S37" s="1933"/>
      <c r="T37" s="1933"/>
      <c r="U37" s="1933"/>
      <c r="V37" s="1933"/>
      <c r="W37" s="1933"/>
      <c r="X37" s="1933"/>
      <c r="Y37" s="1933"/>
      <c r="Z37" s="1933"/>
    </row>
    <row r="38" spans="1:26" ht="12" x14ac:dyDescent="0.2">
      <c r="A38" s="1933" t="str">
        <f>MID(Summary!$B$1,FIND(" ",Summary!$B$1,1)+1,4)</f>
        <v>2006</v>
      </c>
      <c r="B38" s="1933" t="s">
        <v>1757</v>
      </c>
      <c r="C38" s="1933" t="s">
        <v>150</v>
      </c>
      <c r="D38" s="1933" t="s">
        <v>74</v>
      </c>
      <c r="E38" s="1933" t="s">
        <v>3</v>
      </c>
      <c r="F38" s="1933" t="s">
        <v>1754</v>
      </c>
      <c r="G38" s="1934">
        <f>Residential!C60</f>
        <v>1.6201144984419298</v>
      </c>
      <c r="J38" s="1933"/>
      <c r="K38" s="1933"/>
      <c r="L38" s="1933"/>
      <c r="M38" s="1933"/>
      <c r="N38" s="1933"/>
      <c r="O38" s="1933"/>
      <c r="P38" s="1933"/>
      <c r="Q38" s="1933"/>
      <c r="R38" s="1933"/>
      <c r="S38" s="1933"/>
      <c r="T38" s="1933"/>
      <c r="U38" s="1933"/>
      <c r="V38" s="1933"/>
      <c r="W38" s="1933"/>
      <c r="X38" s="1933"/>
      <c r="Y38" s="1933"/>
      <c r="Z38" s="1933"/>
    </row>
    <row r="39" spans="1:26" ht="12" x14ac:dyDescent="0.2">
      <c r="A39" s="1933" t="str">
        <f>MID(Summary!$B$1,FIND(" ",Summary!$B$1,1)+1,4)</f>
        <v>2006</v>
      </c>
      <c r="B39" s="1933" t="s">
        <v>1757</v>
      </c>
      <c r="C39" s="1933" t="s">
        <v>150</v>
      </c>
      <c r="D39" s="1933" t="s">
        <v>74</v>
      </c>
      <c r="E39" s="1933" t="s">
        <v>4</v>
      </c>
      <c r="F39" s="1933" t="s">
        <v>1754</v>
      </c>
      <c r="G39" s="1934">
        <f>Residential!E60</f>
        <v>6.2070639361528094E-3</v>
      </c>
      <c r="J39" s="1933"/>
      <c r="K39" s="1933"/>
      <c r="L39" s="1933"/>
      <c r="M39" s="1933"/>
      <c r="N39" s="1933"/>
      <c r="O39" s="1933"/>
      <c r="P39" s="1933"/>
      <c r="Q39" s="1933"/>
      <c r="R39" s="1933"/>
      <c r="S39" s="1933"/>
      <c r="T39" s="1933"/>
      <c r="U39" s="1933"/>
      <c r="V39" s="1933"/>
      <c r="W39" s="1933"/>
      <c r="X39" s="1933"/>
      <c r="Y39" s="1933"/>
      <c r="Z39" s="1933"/>
    </row>
    <row r="40" spans="1:26" ht="12" x14ac:dyDescent="0.2">
      <c r="A40" s="1933" t="str">
        <f>MID(Summary!$B$1,FIND(" ",Summary!$B$1,1)+1,4)</f>
        <v>2006</v>
      </c>
      <c r="B40" s="1933" t="s">
        <v>1757</v>
      </c>
      <c r="C40" s="1933" t="s">
        <v>150</v>
      </c>
      <c r="D40" s="1933" t="s">
        <v>74</v>
      </c>
      <c r="E40" s="1933" t="s">
        <v>5</v>
      </c>
      <c r="F40" s="1933" t="s">
        <v>1754</v>
      </c>
      <c r="G40" s="1934">
        <f>Residential!D60</f>
        <v>3.6441472141284228E-3</v>
      </c>
      <c r="J40" s="1933"/>
      <c r="K40" s="1933"/>
      <c r="L40" s="1933"/>
      <c r="M40" s="1933"/>
      <c r="N40" s="1933"/>
      <c r="O40" s="1933"/>
      <c r="P40" s="1933"/>
      <c r="Q40" s="1933"/>
      <c r="R40" s="1933"/>
      <c r="S40" s="1933"/>
      <c r="T40" s="1933"/>
      <c r="U40" s="1933"/>
      <c r="V40" s="1933"/>
      <c r="W40" s="1933"/>
      <c r="X40" s="1933"/>
      <c r="Y40" s="1933"/>
      <c r="Z40" s="1933"/>
    </row>
    <row r="41" spans="1:26" ht="12" x14ac:dyDescent="0.2">
      <c r="A41" s="1933" t="str">
        <f>MID(Summary!$B$1,FIND(" ",Summary!$B$1,1)+1,4)</f>
        <v>2006</v>
      </c>
      <c r="B41" s="1933" t="s">
        <v>1757</v>
      </c>
      <c r="C41" s="1933" t="s">
        <v>150</v>
      </c>
      <c r="D41" s="1933" t="s">
        <v>103</v>
      </c>
      <c r="E41" s="1933" t="s">
        <v>3</v>
      </c>
      <c r="F41" s="1933" t="s">
        <v>1754</v>
      </c>
      <c r="G41" s="1934">
        <f>Residential!C61</f>
        <v>0</v>
      </c>
      <c r="J41" s="1933"/>
      <c r="K41" s="1933"/>
      <c r="L41" s="1933"/>
      <c r="M41" s="1933"/>
      <c r="N41" s="1933"/>
      <c r="O41" s="1933"/>
      <c r="P41" s="1933"/>
      <c r="Q41" s="1933"/>
      <c r="R41" s="1933"/>
      <c r="S41" s="1933"/>
      <c r="T41" s="1933"/>
      <c r="U41" s="1933"/>
      <c r="V41" s="1933"/>
      <c r="W41" s="1933"/>
      <c r="X41" s="1933"/>
      <c r="Y41" s="1933"/>
      <c r="Z41" s="1933"/>
    </row>
    <row r="42" spans="1:26" ht="12" x14ac:dyDescent="0.2">
      <c r="A42" s="1933" t="str">
        <f>MID(Summary!$B$1,FIND(" ",Summary!$B$1,1)+1,4)</f>
        <v>2006</v>
      </c>
      <c r="B42" s="1933" t="s">
        <v>1757</v>
      </c>
      <c r="C42" s="1933" t="s">
        <v>150</v>
      </c>
      <c r="D42" s="1933" t="s">
        <v>103</v>
      </c>
      <c r="E42" s="1933" t="s">
        <v>4</v>
      </c>
      <c r="F42" s="1933" t="s">
        <v>1754</v>
      </c>
      <c r="G42" s="1934">
        <f>Residential!E61</f>
        <v>5.4864060668380996E-2</v>
      </c>
      <c r="J42" s="1933"/>
      <c r="K42" s="1933"/>
      <c r="L42" s="1933"/>
      <c r="M42" s="1933"/>
      <c r="N42" s="1933"/>
      <c r="O42" s="1933"/>
      <c r="P42" s="1933"/>
      <c r="Q42" s="1933"/>
      <c r="R42" s="1933"/>
      <c r="S42" s="1933"/>
      <c r="T42" s="1933"/>
      <c r="U42" s="1933"/>
      <c r="V42" s="1933"/>
      <c r="W42" s="1933"/>
      <c r="X42" s="1933"/>
      <c r="Y42" s="1933"/>
      <c r="Z42" s="1933"/>
    </row>
    <row r="43" spans="1:26" ht="12" x14ac:dyDescent="0.2">
      <c r="A43" s="1933" t="str">
        <f>MID(Summary!$B$1,FIND(" ",Summary!$B$1,1)+1,4)</f>
        <v>2006</v>
      </c>
      <c r="B43" s="1933" t="s">
        <v>1757</v>
      </c>
      <c r="C43" s="1933" t="s">
        <v>150</v>
      </c>
      <c r="D43" s="1933" t="s">
        <v>103</v>
      </c>
      <c r="E43" s="1933" t="s">
        <v>5</v>
      </c>
      <c r="F43" s="1933" t="s">
        <v>1754</v>
      </c>
      <c r="G43" s="1934">
        <f>Residential!D61</f>
        <v>7.1578917861256919E-3</v>
      </c>
      <c r="J43" s="1933"/>
      <c r="K43" s="1933"/>
      <c r="L43" s="1933"/>
      <c r="M43" s="1933"/>
      <c r="N43" s="1933"/>
      <c r="O43" s="1933"/>
      <c r="P43" s="1933"/>
      <c r="Q43" s="1933"/>
      <c r="R43" s="1933"/>
      <c r="S43" s="1933"/>
      <c r="T43" s="1933"/>
      <c r="U43" s="1933"/>
      <c r="V43" s="1933"/>
      <c r="W43" s="1933"/>
      <c r="X43" s="1933"/>
      <c r="Y43" s="1933"/>
      <c r="Z43" s="1933"/>
    </row>
    <row r="44" spans="1:26" ht="12" x14ac:dyDescent="0.2">
      <c r="A44" s="1933" t="str">
        <f>MID(Summary!$B$1,FIND(" ",Summary!$B$1,1)+1,4)</f>
        <v>2006</v>
      </c>
      <c r="B44" s="1933" t="s">
        <v>1757</v>
      </c>
      <c r="C44" s="1933" t="s">
        <v>150</v>
      </c>
      <c r="D44" s="1933" t="s">
        <v>40</v>
      </c>
      <c r="E44" s="1933" t="s">
        <v>3</v>
      </c>
      <c r="F44" s="1933" t="s">
        <v>1756</v>
      </c>
      <c r="G44" s="1934">
        <f>Residential!C58/_xlfn.XLOOKUP(E44,Summary!C$4:C$7,Summary!E$4:E$7,"ERROR")*_xlfn.XLOOKUP(E44,Summary!C$4:C$7,Summary!D$4:D$7,"ERROR")</f>
        <v>8.8869497395292294E-3</v>
      </c>
      <c r="H44" s="1933"/>
      <c r="I44" s="1933"/>
      <c r="J44" s="1933"/>
      <c r="K44" s="1933"/>
      <c r="L44" s="1933"/>
      <c r="M44" s="1933"/>
      <c r="N44" s="1933"/>
      <c r="O44" s="1933"/>
      <c r="P44" s="1933"/>
      <c r="Q44" s="1933"/>
      <c r="R44" s="1933"/>
      <c r="S44" s="1933"/>
      <c r="T44" s="1933"/>
      <c r="U44" s="1933"/>
      <c r="V44" s="1933"/>
      <c r="W44" s="1933"/>
      <c r="X44" s="1933"/>
      <c r="Y44" s="1933"/>
      <c r="Z44" s="1933"/>
    </row>
    <row r="45" spans="1:26" ht="12" x14ac:dyDescent="0.2">
      <c r="A45" s="1933" t="str">
        <f>MID(Summary!$B$1,FIND(" ",Summary!$B$1,1)+1,4)</f>
        <v>2006</v>
      </c>
      <c r="B45" s="1933" t="s">
        <v>1757</v>
      </c>
      <c r="C45" s="1933" t="s">
        <v>150</v>
      </c>
      <c r="D45" s="1933" t="s">
        <v>40</v>
      </c>
      <c r="E45" s="1933" t="s">
        <v>4</v>
      </c>
      <c r="F45" s="1933" t="s">
        <v>1756</v>
      </c>
      <c r="G45" s="1934">
        <f>Residential!E58/_xlfn.XLOOKUP(E45,Summary!C$4:C$7,Summary!E$4:E$7,"ERROR")*_xlfn.XLOOKUP(E45,Summary!C$4:C$7,Summary!D$4:D$7,"ERROR")</f>
        <v>2.2972139120258175E-3</v>
      </c>
      <c r="H45" s="1933"/>
      <c r="I45" s="1933"/>
      <c r="J45" s="1933"/>
      <c r="K45" s="1933"/>
      <c r="L45" s="1933"/>
      <c r="M45" s="1933"/>
      <c r="N45" s="1933"/>
      <c r="O45" s="1933"/>
      <c r="P45" s="1933"/>
      <c r="Q45" s="1933"/>
      <c r="R45" s="1933"/>
      <c r="S45" s="1933"/>
      <c r="T45" s="1933"/>
      <c r="U45" s="1933"/>
      <c r="V45" s="1933"/>
      <c r="W45" s="1933"/>
      <c r="X45" s="1933"/>
      <c r="Y45" s="1933"/>
      <c r="Z45" s="1933"/>
    </row>
    <row r="46" spans="1:26" ht="12" x14ac:dyDescent="0.2">
      <c r="A46" s="1933" t="str">
        <f>MID(Summary!$B$1,FIND(" ",Summary!$B$1,1)+1,4)</f>
        <v>2006</v>
      </c>
      <c r="B46" s="1933" t="s">
        <v>1757</v>
      </c>
      <c r="C46" s="1933" t="s">
        <v>150</v>
      </c>
      <c r="D46" s="1933" t="s">
        <v>40</v>
      </c>
      <c r="E46" s="1933" t="s">
        <v>5</v>
      </c>
      <c r="F46" s="1933" t="s">
        <v>1756</v>
      </c>
      <c r="G46" s="1934">
        <f>Residential!D58/_xlfn.XLOOKUP(E46,Summary!C$4:C$7,Summary!E$4:E$7,"ERROR")*_xlfn.XLOOKUP(E46,Summary!C$4:C$7,Summary!D$4:D$7,"ERROR")</f>
        <v>3.8616958003882275E-5</v>
      </c>
      <c r="H46" s="1933"/>
      <c r="I46" s="1933"/>
      <c r="J46" s="1933"/>
      <c r="K46" s="1933"/>
      <c r="L46" s="1933"/>
      <c r="M46" s="1933"/>
      <c r="N46" s="1933"/>
      <c r="O46" s="1933"/>
      <c r="P46" s="1933"/>
      <c r="Q46" s="1933"/>
      <c r="R46" s="1933"/>
      <c r="S46" s="1933"/>
      <c r="T46" s="1933"/>
      <c r="U46" s="1933"/>
      <c r="V46" s="1933"/>
      <c r="W46" s="1933"/>
      <c r="X46" s="1933"/>
      <c r="Y46" s="1933"/>
      <c r="Z46" s="1933"/>
    </row>
    <row r="47" spans="1:26" ht="12" x14ac:dyDescent="0.2">
      <c r="A47" s="1933" t="str">
        <f>MID(Summary!$B$1,FIND(" ",Summary!$B$1,1)+1,4)</f>
        <v>2006</v>
      </c>
      <c r="B47" s="1933" t="s">
        <v>1757</v>
      </c>
      <c r="C47" s="1933" t="s">
        <v>150</v>
      </c>
      <c r="D47" s="1933" t="s">
        <v>141</v>
      </c>
      <c r="E47" s="1933" t="s">
        <v>3</v>
      </c>
      <c r="F47" s="1933" t="s">
        <v>1756</v>
      </c>
      <c r="G47" s="1934">
        <f>Residential!C59/_xlfn.XLOOKUP(E47,Summary!C$4:C$7,Summary!E$4:E$7,"ERROR")*_xlfn.XLOOKUP(E47,Summary!C$4:C$7,Summary!D$4:D$7,"ERROR")</f>
        <v>4.3315963446256607</v>
      </c>
      <c r="H47" s="1933"/>
      <c r="I47" s="1933"/>
      <c r="J47" s="1933"/>
      <c r="K47" s="1933"/>
      <c r="L47" s="1933"/>
      <c r="M47" s="1933"/>
      <c r="N47" s="1933"/>
      <c r="O47" s="1933"/>
      <c r="P47" s="1933"/>
      <c r="Q47" s="1933"/>
      <c r="R47" s="1933"/>
      <c r="S47" s="1933"/>
      <c r="T47" s="1933"/>
      <c r="U47" s="1933"/>
      <c r="V47" s="1933"/>
      <c r="W47" s="1933"/>
      <c r="X47" s="1933"/>
      <c r="Y47" s="1933"/>
      <c r="Z47" s="1933"/>
    </row>
    <row r="48" spans="1:26" ht="12" x14ac:dyDescent="0.2">
      <c r="A48" s="1933" t="str">
        <f>MID(Summary!$B$1,FIND(" ",Summary!$B$1,1)+1,4)</f>
        <v>2006</v>
      </c>
      <c r="B48" s="1933" t="s">
        <v>1757</v>
      </c>
      <c r="C48" s="1933" t="s">
        <v>150</v>
      </c>
      <c r="D48" s="1933" t="s">
        <v>141</v>
      </c>
      <c r="E48" s="1933" t="s">
        <v>4</v>
      </c>
      <c r="F48" s="1933" t="s">
        <v>1756</v>
      </c>
      <c r="G48" s="1934">
        <f>Residential!E59/_xlfn.XLOOKUP(E48,Summary!C$4:C$7,Summary!E$4:E$7,"ERROR")*_xlfn.XLOOKUP(E48,Summary!C$4:C$7,Summary!D$4:D$7,"ERROR")</f>
        <v>3.3864035056439805E-2</v>
      </c>
      <c r="H48" s="1933"/>
      <c r="I48" s="1933"/>
      <c r="J48" s="1933"/>
      <c r="K48" s="1933"/>
      <c r="L48" s="1933"/>
      <c r="M48" s="1933"/>
      <c r="N48" s="1933"/>
      <c r="O48" s="1933"/>
      <c r="P48" s="1933"/>
      <c r="Q48" s="1933"/>
      <c r="R48" s="1933"/>
      <c r="S48" s="1933"/>
      <c r="T48" s="1933"/>
      <c r="U48" s="1933"/>
      <c r="V48" s="1933"/>
      <c r="W48" s="1933"/>
      <c r="X48" s="1933"/>
      <c r="Y48" s="1933"/>
      <c r="Z48" s="1933"/>
    </row>
    <row r="49" spans="1:26" ht="12" x14ac:dyDescent="0.2">
      <c r="A49" s="1933" t="str">
        <f>MID(Summary!$B$1,FIND(" ",Summary!$B$1,1)+1,4)</f>
        <v>2006</v>
      </c>
      <c r="B49" s="1933" t="s">
        <v>1757</v>
      </c>
      <c r="C49" s="1933" t="s">
        <v>150</v>
      </c>
      <c r="D49" s="1933" t="s">
        <v>141</v>
      </c>
      <c r="E49" s="1933" t="s">
        <v>5</v>
      </c>
      <c r="F49" s="1933" t="s">
        <v>1756</v>
      </c>
      <c r="G49" s="1934">
        <f>Residential!D59/_xlfn.XLOOKUP(E49,Summary!C$4:C$7,Summary!E$4:E$7,"ERROR")*_xlfn.XLOOKUP(E49,Summary!C$4:C$7,Summary!D$4:D$7,"ERROR")</f>
        <v>3.0044130548950894E-3</v>
      </c>
      <c r="H49" s="1933"/>
      <c r="I49" s="1933"/>
      <c r="J49" s="1933"/>
      <c r="K49" s="1933"/>
      <c r="L49" s="1933"/>
      <c r="M49" s="1933"/>
      <c r="N49" s="1933"/>
      <c r="O49" s="1933"/>
      <c r="P49" s="1933"/>
      <c r="Q49" s="1933"/>
      <c r="R49" s="1933"/>
      <c r="S49" s="1933"/>
      <c r="T49" s="1933"/>
      <c r="U49" s="1933"/>
      <c r="V49" s="1933"/>
      <c r="W49" s="1933"/>
      <c r="X49" s="1933"/>
      <c r="Y49" s="1933"/>
      <c r="Z49" s="1933"/>
    </row>
    <row r="50" spans="1:26" ht="12" x14ac:dyDescent="0.2">
      <c r="A50" s="1933" t="str">
        <f>MID(Summary!$B$1,FIND(" ",Summary!$B$1,1)+1,4)</f>
        <v>2006</v>
      </c>
      <c r="B50" s="1933" t="s">
        <v>1757</v>
      </c>
      <c r="C50" s="1933" t="s">
        <v>150</v>
      </c>
      <c r="D50" s="1933" t="s">
        <v>74</v>
      </c>
      <c r="E50" s="1933" t="s">
        <v>3</v>
      </c>
      <c r="F50" s="1933" t="s">
        <v>1756</v>
      </c>
      <c r="G50" s="1934">
        <f>Residential!C60/_xlfn.XLOOKUP(E50,Summary!C$4:C$7,Summary!E$4:E$7,"ERROR")*_xlfn.XLOOKUP(E50,Summary!C$4:C$7,Summary!D$4:D$7,"ERROR")</f>
        <v>1.6201144984419298</v>
      </c>
      <c r="H50" s="1933"/>
      <c r="I50" s="1933"/>
      <c r="J50" s="1933"/>
      <c r="K50" s="1933"/>
      <c r="L50" s="1933"/>
      <c r="M50" s="1933"/>
      <c r="N50" s="1933"/>
      <c r="O50" s="1933"/>
      <c r="P50" s="1933"/>
      <c r="Q50" s="1933"/>
      <c r="R50" s="1933"/>
      <c r="S50" s="1933"/>
      <c r="T50" s="1933"/>
      <c r="U50" s="1933"/>
      <c r="V50" s="1933"/>
      <c r="W50" s="1933"/>
      <c r="X50" s="1933"/>
      <c r="Y50" s="1933"/>
      <c r="Z50" s="1933"/>
    </row>
    <row r="51" spans="1:26" ht="12" x14ac:dyDescent="0.2">
      <c r="A51" s="1933" t="str">
        <f>MID(Summary!$B$1,FIND(" ",Summary!$B$1,1)+1,4)</f>
        <v>2006</v>
      </c>
      <c r="B51" s="1933" t="s">
        <v>1757</v>
      </c>
      <c r="C51" s="1933" t="s">
        <v>150</v>
      </c>
      <c r="D51" s="1933" t="s">
        <v>74</v>
      </c>
      <c r="E51" s="1933" t="s">
        <v>4</v>
      </c>
      <c r="F51" s="1933" t="s">
        <v>1756</v>
      </c>
      <c r="G51" s="1934">
        <f>Residential!E60/_xlfn.XLOOKUP(E51,Summary!C$4:C$7,Summary!E$4:E$7,"ERROR")*_xlfn.XLOOKUP(E51,Summary!C$4:C$7,Summary!D$4:D$7,"ERROR")</f>
        <v>1.8065003283713552E-2</v>
      </c>
      <c r="H51" s="1933"/>
      <c r="I51" s="1933"/>
      <c r="J51" s="1933"/>
      <c r="K51" s="1933"/>
      <c r="L51" s="1933"/>
      <c r="M51" s="1933"/>
      <c r="N51" s="1933"/>
      <c r="O51" s="1933"/>
      <c r="P51" s="1933"/>
      <c r="Q51" s="1933"/>
      <c r="R51" s="1933"/>
      <c r="S51" s="1933"/>
      <c r="T51" s="1933"/>
      <c r="U51" s="1933"/>
      <c r="V51" s="1933"/>
      <c r="W51" s="1933"/>
      <c r="X51" s="1933"/>
      <c r="Y51" s="1933"/>
      <c r="Z51" s="1933"/>
    </row>
    <row r="52" spans="1:26" ht="12" x14ac:dyDescent="0.2">
      <c r="A52" s="1933" t="str">
        <f>MID(Summary!$B$1,FIND(" ",Summary!$B$1,1)+1,4)</f>
        <v>2006</v>
      </c>
      <c r="B52" s="1933" t="s">
        <v>1757</v>
      </c>
      <c r="C52" s="1933" t="s">
        <v>150</v>
      </c>
      <c r="D52" s="1933" t="s">
        <v>74</v>
      </c>
      <c r="E52" s="1933" t="s">
        <v>5</v>
      </c>
      <c r="F52" s="1933" t="s">
        <v>1756</v>
      </c>
      <c r="G52" s="1934">
        <f>Residential!D60/_xlfn.XLOOKUP(E52,Summary!C$4:C$7,Summary!E$4:E$7,"ERROR")*_xlfn.XLOOKUP(E52,Summary!C$4:C$7,Summary!D$4:D$7,"ERROR")</f>
        <v>3.6441472141284228E-3</v>
      </c>
      <c r="H52" s="1933"/>
      <c r="I52" s="1933"/>
      <c r="J52" s="1933"/>
      <c r="K52" s="1933"/>
      <c r="L52" s="1933"/>
      <c r="M52" s="1933"/>
      <c r="N52" s="1933"/>
      <c r="O52" s="1933"/>
      <c r="P52" s="1933"/>
      <c r="Q52" s="1933"/>
      <c r="R52" s="1933"/>
      <c r="S52" s="1933"/>
      <c r="T52" s="1933"/>
      <c r="U52" s="1933"/>
      <c r="V52" s="1933"/>
      <c r="W52" s="1933"/>
      <c r="X52" s="1933"/>
      <c r="Y52" s="1933"/>
      <c r="Z52" s="1933"/>
    </row>
    <row r="53" spans="1:26" ht="12" x14ac:dyDescent="0.2">
      <c r="A53" s="1933" t="str">
        <f>MID(Summary!$B$1,FIND(" ",Summary!$B$1,1)+1,4)</f>
        <v>2006</v>
      </c>
      <c r="B53" s="1933" t="s">
        <v>1757</v>
      </c>
      <c r="C53" s="1933" t="s">
        <v>150</v>
      </c>
      <c r="D53" s="1933" t="s">
        <v>103</v>
      </c>
      <c r="E53" s="1933" t="s">
        <v>3</v>
      </c>
      <c r="F53" s="1933" t="s">
        <v>1756</v>
      </c>
      <c r="G53" s="1934">
        <f>Residential!C61/_xlfn.XLOOKUP(E53,Summary!C$4:C$7,Summary!E$4:E$7,"ERROR")*_xlfn.XLOOKUP(E53,Summary!C$4:C$7,Summary!D$4:D$7,"ERROR")</f>
        <v>0</v>
      </c>
      <c r="H53" s="1933"/>
      <c r="I53" s="1933"/>
      <c r="J53" s="1933"/>
      <c r="K53" s="1933"/>
      <c r="L53" s="1933"/>
      <c r="M53" s="1933"/>
      <c r="N53" s="1933"/>
      <c r="O53" s="1933"/>
      <c r="P53" s="1933"/>
      <c r="Q53" s="1933"/>
      <c r="R53" s="1933"/>
      <c r="S53" s="1933"/>
      <c r="T53" s="1933"/>
      <c r="U53" s="1933"/>
      <c r="V53" s="1933"/>
      <c r="W53" s="1933"/>
      <c r="X53" s="1933"/>
      <c r="Y53" s="1933"/>
      <c r="Z53" s="1933"/>
    </row>
    <row r="54" spans="1:26" ht="12" x14ac:dyDescent="0.2">
      <c r="A54" s="1933" t="str">
        <f>MID(Summary!$B$1,FIND(" ",Summary!$B$1,1)+1,4)</f>
        <v>2006</v>
      </c>
      <c r="B54" s="1933" t="s">
        <v>1757</v>
      </c>
      <c r="C54" s="1933" t="s">
        <v>150</v>
      </c>
      <c r="D54" s="1933" t="s">
        <v>103</v>
      </c>
      <c r="E54" s="1933" t="s">
        <v>4</v>
      </c>
      <c r="F54" s="1933" t="s">
        <v>1756</v>
      </c>
      <c r="G54" s="1934">
        <f>Residential!E61/_xlfn.XLOOKUP(E54,Summary!C$4:C$7,Summary!E$4:E$7,"ERROR")*_xlfn.XLOOKUP(E54,Summary!C$4:C$7,Summary!D$4:D$7,"ERROR")</f>
        <v>0.15967604753665007</v>
      </c>
      <c r="H54" s="1933"/>
      <c r="I54" s="1933"/>
      <c r="J54" s="1933"/>
      <c r="K54" s="1933"/>
      <c r="L54" s="1933"/>
      <c r="M54" s="1933"/>
      <c r="N54" s="1933"/>
      <c r="O54" s="1933"/>
      <c r="P54" s="1933"/>
      <c r="Q54" s="1933"/>
      <c r="R54" s="1933"/>
      <c r="S54" s="1933"/>
      <c r="T54" s="1933"/>
      <c r="U54" s="1933"/>
      <c r="V54" s="1933"/>
      <c r="W54" s="1933"/>
      <c r="X54" s="1933"/>
      <c r="Y54" s="1933"/>
      <c r="Z54" s="1933"/>
    </row>
    <row r="55" spans="1:26" ht="12" x14ac:dyDescent="0.2">
      <c r="A55" s="1933" t="str">
        <f>MID(Summary!$B$1,FIND(" ",Summary!$B$1,1)+1,4)</f>
        <v>2006</v>
      </c>
      <c r="B55" s="1933" t="s">
        <v>1757</v>
      </c>
      <c r="C55" s="1933" t="s">
        <v>150</v>
      </c>
      <c r="D55" s="1933" t="s">
        <v>103</v>
      </c>
      <c r="E55" s="1933" t="s">
        <v>5</v>
      </c>
      <c r="F55" s="1933" t="s">
        <v>1756</v>
      </c>
      <c r="G55" s="1934">
        <f>Residential!D61/_xlfn.XLOOKUP(E55,Summary!C$4:C$7,Summary!E$4:E$7,"ERROR")*_xlfn.XLOOKUP(E55,Summary!C$4:C$7,Summary!D$4:D$7,"ERROR")</f>
        <v>7.1578917861256919E-3</v>
      </c>
      <c r="H55" s="1933"/>
      <c r="J55" s="1933"/>
      <c r="K55" s="1933"/>
      <c r="L55" s="1933"/>
      <c r="M55" s="1933"/>
      <c r="N55" s="1933"/>
      <c r="O55" s="1933"/>
      <c r="P55" s="1933"/>
      <c r="Q55" s="1933"/>
      <c r="R55" s="1933"/>
      <c r="S55" s="1933"/>
      <c r="T55" s="1933"/>
      <c r="U55" s="1933"/>
      <c r="V55" s="1933"/>
      <c r="W55" s="1933"/>
      <c r="X55" s="1933"/>
      <c r="Y55" s="1933"/>
      <c r="Z55" s="1933"/>
    </row>
    <row r="56" spans="1:26" ht="12" x14ac:dyDescent="0.2">
      <c r="A56" s="1933" t="str">
        <f>MID(Summary!$B$1,FIND(" ",Summary!$B$1,1)+1,4)</f>
        <v>2006</v>
      </c>
      <c r="B56" s="1933" t="s">
        <v>1757</v>
      </c>
      <c r="C56" s="1933" t="s">
        <v>155</v>
      </c>
      <c r="D56" s="1933" t="s">
        <v>40</v>
      </c>
      <c r="E56" s="1933" t="s">
        <v>3</v>
      </c>
      <c r="F56" s="1933" t="s">
        <v>1754</v>
      </c>
      <c r="G56" s="1934">
        <f>Commercial!C66</f>
        <v>8.9856940768117802E-2</v>
      </c>
      <c r="L56" s="1933"/>
      <c r="M56" s="1933"/>
      <c r="N56" s="1933"/>
      <c r="O56" s="1933"/>
      <c r="P56" s="1933"/>
      <c r="Q56" s="1933"/>
      <c r="R56" s="1933"/>
      <c r="S56" s="1933"/>
      <c r="T56" s="1933"/>
      <c r="U56" s="1933"/>
      <c r="V56" s="1933"/>
      <c r="W56" s="1933"/>
      <c r="X56" s="1933"/>
      <c r="Y56" s="1933"/>
      <c r="Z56" s="1933"/>
    </row>
    <row r="57" spans="1:26" ht="12" x14ac:dyDescent="0.2">
      <c r="A57" s="1933" t="str">
        <f>MID(Summary!$B$1,FIND(" ",Summary!$B$1,1)+1,4)</f>
        <v>2006</v>
      </c>
      <c r="B57" s="1933" t="s">
        <v>1757</v>
      </c>
      <c r="C57" s="1933" t="s">
        <v>155</v>
      </c>
      <c r="D57" s="1933" t="s">
        <v>40</v>
      </c>
      <c r="E57" s="1933" t="s">
        <v>4</v>
      </c>
      <c r="F57" s="1933" t="s">
        <v>1754</v>
      </c>
      <c r="G57" s="1934">
        <f>Commercial!D66</f>
        <v>2.6602794627633318E-4</v>
      </c>
      <c r="L57" s="1933"/>
      <c r="M57" s="1933"/>
      <c r="N57" s="1933"/>
      <c r="O57" s="1933"/>
      <c r="P57" s="1933"/>
      <c r="Q57" s="1933"/>
      <c r="R57" s="1933"/>
      <c r="S57" s="1933"/>
      <c r="T57" s="1933"/>
      <c r="U57" s="1933"/>
      <c r="V57" s="1933"/>
      <c r="W57" s="1933"/>
      <c r="X57" s="1933"/>
      <c r="Y57" s="1933"/>
      <c r="Z57" s="1933"/>
    </row>
    <row r="58" spans="1:26" ht="12" x14ac:dyDescent="0.2">
      <c r="A58" s="1933" t="str">
        <f>MID(Summary!$B$1,FIND(" ",Summary!$B$1,1)+1,4)</f>
        <v>2006</v>
      </c>
      <c r="B58" s="1933" t="s">
        <v>1757</v>
      </c>
      <c r="C58" s="1933" t="s">
        <v>155</v>
      </c>
      <c r="D58" s="1933" t="s">
        <v>40</v>
      </c>
      <c r="E58" s="1933" t="s">
        <v>5</v>
      </c>
      <c r="F58" s="1933" t="s">
        <v>1754</v>
      </c>
      <c r="G58" s="1934">
        <f>Commercial!E66</f>
        <v>3.9046037276042455E-4</v>
      </c>
      <c r="L58" s="1933"/>
      <c r="M58" s="1933"/>
      <c r="N58" s="1933"/>
      <c r="O58" s="1933"/>
      <c r="P58" s="1933"/>
      <c r="Q58" s="1933"/>
      <c r="R58" s="1933"/>
      <c r="S58" s="1933"/>
      <c r="T58" s="1933"/>
      <c r="U58" s="1933"/>
      <c r="V58" s="1933"/>
      <c r="W58" s="1933"/>
      <c r="X58" s="1933"/>
      <c r="Y58" s="1933"/>
      <c r="Z58" s="1933"/>
    </row>
    <row r="59" spans="1:26" ht="12" x14ac:dyDescent="0.2">
      <c r="A59" s="1933" t="str">
        <f>MID(Summary!$B$1,FIND(" ",Summary!$B$1,1)+1,4)</f>
        <v>2006</v>
      </c>
      <c r="B59" s="1933" t="s">
        <v>1757</v>
      </c>
      <c r="C59" s="1933" t="s">
        <v>155</v>
      </c>
      <c r="D59" s="1933" t="s">
        <v>141</v>
      </c>
      <c r="E59" s="1933" t="s">
        <v>3</v>
      </c>
      <c r="F59" s="1933" t="s">
        <v>1754</v>
      </c>
      <c r="G59" s="1934">
        <f>Commercial!C67</f>
        <v>3.5216721256232284</v>
      </c>
      <c r="L59" s="1933"/>
      <c r="M59" s="1933"/>
      <c r="N59" s="1933"/>
      <c r="O59" s="1933"/>
      <c r="P59" s="1933"/>
      <c r="Q59" s="1933"/>
      <c r="R59" s="1933"/>
      <c r="S59" s="1933"/>
      <c r="T59" s="1933"/>
      <c r="U59" s="1933"/>
      <c r="V59" s="1933"/>
      <c r="W59" s="1933"/>
      <c r="X59" s="1933"/>
      <c r="Y59" s="1933"/>
      <c r="Z59" s="1933"/>
    </row>
    <row r="60" spans="1:26" ht="12" x14ac:dyDescent="0.2">
      <c r="A60" s="1933" t="str">
        <f>MID(Summary!$B$1,FIND(" ",Summary!$B$1,1)+1,4)</f>
        <v>2006</v>
      </c>
      <c r="B60" s="1933" t="s">
        <v>1757</v>
      </c>
      <c r="C60" s="1933" t="s">
        <v>155</v>
      </c>
      <c r="D60" s="1933" t="s">
        <v>141</v>
      </c>
      <c r="E60" s="1933" t="s">
        <v>4</v>
      </c>
      <c r="F60" s="1933" t="s">
        <v>1754</v>
      </c>
      <c r="G60" s="1934">
        <f>Commercial!D67</f>
        <v>8.9434130524450491E-3</v>
      </c>
      <c r="L60" s="1933"/>
      <c r="M60" s="1933"/>
      <c r="N60" s="1933"/>
      <c r="O60" s="1933"/>
      <c r="P60" s="1933"/>
      <c r="Q60" s="1933"/>
      <c r="R60" s="1933"/>
      <c r="S60" s="1933"/>
      <c r="T60" s="1933"/>
      <c r="U60" s="1933"/>
      <c r="V60" s="1933"/>
      <c r="W60" s="1933"/>
      <c r="X60" s="1933"/>
      <c r="Y60" s="1933"/>
      <c r="Z60" s="1933"/>
    </row>
    <row r="61" spans="1:26" ht="12" x14ac:dyDescent="0.2">
      <c r="A61" s="1933" t="str">
        <f>MID(Summary!$B$1,FIND(" ",Summary!$B$1,1)+1,4)</f>
        <v>2006</v>
      </c>
      <c r="B61" s="1933" t="s">
        <v>1757</v>
      </c>
      <c r="C61" s="1933" t="s">
        <v>155</v>
      </c>
      <c r="D61" s="1933" t="s">
        <v>141</v>
      </c>
      <c r="E61" s="1933" t="s">
        <v>5</v>
      </c>
      <c r="F61" s="1933" t="s">
        <v>1754</v>
      </c>
      <c r="G61" s="1934">
        <f>Commercial!E67</f>
        <v>1.8785719566015134E-3</v>
      </c>
      <c r="L61" s="1933"/>
      <c r="M61" s="1933"/>
      <c r="N61" s="1933"/>
      <c r="O61" s="1933"/>
      <c r="P61" s="1933"/>
      <c r="Q61" s="1933"/>
      <c r="R61" s="1933"/>
      <c r="S61" s="1933"/>
      <c r="T61" s="1933"/>
      <c r="U61" s="1933"/>
      <c r="V61" s="1933"/>
      <c r="W61" s="1933"/>
      <c r="X61" s="1933"/>
      <c r="Y61" s="1933"/>
      <c r="Z61" s="1933"/>
    </row>
    <row r="62" spans="1:26" ht="12" x14ac:dyDescent="0.2">
      <c r="A62" s="1933" t="str">
        <f>MID(Summary!$B$1,FIND(" ",Summary!$B$1,1)+1,4)</f>
        <v>2006</v>
      </c>
      <c r="B62" s="1933" t="s">
        <v>1757</v>
      </c>
      <c r="C62" s="1933" t="s">
        <v>155</v>
      </c>
      <c r="D62" s="1933" t="s">
        <v>74</v>
      </c>
      <c r="E62" s="1933" t="s">
        <v>3</v>
      </c>
      <c r="F62" s="1933" t="s">
        <v>1754</v>
      </c>
      <c r="G62" s="1934">
        <f>Commercial!C68</f>
        <v>0.8283250238836426</v>
      </c>
      <c r="L62" s="1933"/>
      <c r="M62" s="1933"/>
      <c r="N62" s="1933"/>
      <c r="O62" s="1933"/>
      <c r="P62" s="1933"/>
      <c r="Q62" s="1933"/>
      <c r="R62" s="1933"/>
      <c r="S62" s="1933"/>
      <c r="T62" s="1933"/>
      <c r="U62" s="1933"/>
      <c r="V62" s="1933"/>
      <c r="W62" s="1933"/>
      <c r="X62" s="1933"/>
      <c r="Y62" s="1933"/>
      <c r="Z62" s="1933"/>
    </row>
    <row r="63" spans="1:26" ht="12" x14ac:dyDescent="0.2">
      <c r="A63" s="1933" t="str">
        <f>MID(Summary!$B$1,FIND(" ",Summary!$B$1,1)+1,4)</f>
        <v>2006</v>
      </c>
      <c r="B63" s="1933" t="s">
        <v>1757</v>
      </c>
      <c r="C63" s="1933" t="s">
        <v>155</v>
      </c>
      <c r="D63" s="1933" t="s">
        <v>74</v>
      </c>
      <c r="E63" s="1933" t="s">
        <v>4</v>
      </c>
      <c r="F63" s="1933" t="s">
        <v>1754</v>
      </c>
      <c r="G63" s="1934">
        <f>Commercial!D68</f>
        <v>3.1675395675260171E-3</v>
      </c>
      <c r="L63" s="1933"/>
      <c r="M63" s="1933"/>
      <c r="N63" s="1933"/>
      <c r="O63" s="1933"/>
      <c r="P63" s="1933"/>
      <c r="Q63" s="1933"/>
      <c r="R63" s="1933"/>
      <c r="S63" s="1933"/>
      <c r="T63" s="1933"/>
      <c r="U63" s="1933"/>
      <c r="V63" s="1933"/>
      <c r="W63" s="1933"/>
      <c r="X63" s="1933"/>
      <c r="Y63" s="1933"/>
      <c r="Z63" s="1933"/>
    </row>
    <row r="64" spans="1:26" ht="12" x14ac:dyDescent="0.2">
      <c r="A64" s="1933" t="str">
        <f>MID(Summary!$B$1,FIND(" ",Summary!$B$1,1)+1,4)</f>
        <v>2006</v>
      </c>
      <c r="B64" s="1933" t="s">
        <v>1757</v>
      </c>
      <c r="C64" s="1933" t="s">
        <v>155</v>
      </c>
      <c r="D64" s="1933" t="s">
        <v>74</v>
      </c>
      <c r="E64" s="1933" t="s">
        <v>5</v>
      </c>
      <c r="F64" s="1933" t="s">
        <v>1754</v>
      </c>
      <c r="G64" s="1934">
        <f>Commercial!E68</f>
        <v>1.8596522622249517E-3</v>
      </c>
      <c r="J64" s="1933"/>
      <c r="K64" s="1933"/>
      <c r="L64" s="1933"/>
      <c r="M64" s="1933"/>
      <c r="N64" s="1933"/>
      <c r="O64" s="1933"/>
      <c r="P64" s="1933"/>
      <c r="Q64" s="1933"/>
      <c r="R64" s="1933"/>
      <c r="S64" s="1933"/>
      <c r="T64" s="1933"/>
      <c r="U64" s="1933"/>
      <c r="V64" s="1933"/>
      <c r="W64" s="1933"/>
      <c r="X64" s="1933"/>
      <c r="Y64" s="1933"/>
      <c r="Z64" s="1933"/>
    </row>
    <row r="65" spans="1:26" ht="12" x14ac:dyDescent="0.2">
      <c r="A65" s="1933" t="str">
        <f>MID(Summary!$B$1,FIND(" ",Summary!$B$1,1)+1,4)</f>
        <v>2006</v>
      </c>
      <c r="B65" s="1933" t="s">
        <v>1757</v>
      </c>
      <c r="C65" s="1933" t="s">
        <v>155</v>
      </c>
      <c r="D65" s="1933" t="s">
        <v>103</v>
      </c>
      <c r="E65" s="1933" t="s">
        <v>3</v>
      </c>
      <c r="F65" s="1933" t="s">
        <v>1754</v>
      </c>
      <c r="G65" s="1934">
        <f>Commercial!C69</f>
        <v>0</v>
      </c>
      <c r="L65" s="1933"/>
      <c r="M65" s="1933"/>
      <c r="N65" s="1933"/>
      <c r="O65" s="1933"/>
      <c r="P65" s="1933"/>
      <c r="Q65" s="1933"/>
      <c r="R65" s="1933"/>
      <c r="S65" s="1933"/>
      <c r="T65" s="1933"/>
      <c r="U65" s="1933"/>
      <c r="V65" s="1933"/>
      <c r="W65" s="1933"/>
      <c r="X65" s="1933"/>
      <c r="Y65" s="1933"/>
      <c r="Z65" s="1933"/>
    </row>
    <row r="66" spans="1:26" ht="12" x14ac:dyDescent="0.2">
      <c r="A66" s="1933" t="str">
        <f>MID(Summary!$B$1,FIND(" ",Summary!$B$1,1)+1,4)</f>
        <v>2006</v>
      </c>
      <c r="B66" s="1933" t="s">
        <v>1757</v>
      </c>
      <c r="C66" s="1933" t="s">
        <v>155</v>
      </c>
      <c r="D66" s="1933" t="s">
        <v>103</v>
      </c>
      <c r="E66" s="1933" t="s">
        <v>4</v>
      </c>
      <c r="F66" s="1933" t="s">
        <v>1754</v>
      </c>
      <c r="G66" s="1934">
        <f>Commercial!D69</f>
        <v>1.6699770808020101E-2</v>
      </c>
      <c r="K66" s="1933"/>
      <c r="L66" s="1933"/>
      <c r="M66" s="1933"/>
      <c r="N66" s="1933"/>
      <c r="O66" s="1933"/>
      <c r="P66" s="1933"/>
      <c r="Q66" s="1933"/>
      <c r="R66" s="1933"/>
      <c r="S66" s="1933"/>
      <c r="T66" s="1933"/>
      <c r="U66" s="1933"/>
      <c r="V66" s="1933"/>
      <c r="W66" s="1933"/>
      <c r="X66" s="1933"/>
      <c r="Y66" s="1933"/>
      <c r="Z66" s="1933"/>
    </row>
    <row r="67" spans="1:26" ht="12" x14ac:dyDescent="0.2">
      <c r="A67" s="1933" t="str">
        <f>MID(Summary!$B$1,FIND(" ",Summary!$B$1,1)+1,4)</f>
        <v>2006</v>
      </c>
      <c r="B67" s="1933" t="s">
        <v>1757</v>
      </c>
      <c r="C67" s="1933" t="s">
        <v>155</v>
      </c>
      <c r="D67" s="1933" t="s">
        <v>103</v>
      </c>
      <c r="E67" s="1933" t="s">
        <v>5</v>
      </c>
      <c r="F67" s="1933" t="s">
        <v>1754</v>
      </c>
      <c r="G67" s="1934">
        <f>Commercial!E69</f>
        <v>2.1787514602578193E-3</v>
      </c>
      <c r="J67" s="1933"/>
      <c r="K67" s="1933"/>
      <c r="L67" s="1933"/>
      <c r="M67" s="1933"/>
      <c r="N67" s="1933"/>
      <c r="O67" s="1933"/>
      <c r="P67" s="1933"/>
      <c r="Q67" s="1933"/>
      <c r="R67" s="1933"/>
      <c r="S67" s="1933"/>
      <c r="T67" s="1933"/>
      <c r="U67" s="1933"/>
      <c r="V67" s="1933"/>
      <c r="W67" s="1933"/>
      <c r="X67" s="1933"/>
      <c r="Y67" s="1933"/>
      <c r="Z67" s="1933"/>
    </row>
    <row r="68" spans="1:26" ht="12" x14ac:dyDescent="0.2">
      <c r="A68" s="1933" t="str">
        <f>MID(Summary!$B$1,FIND(" ",Summary!$B$1,1)+1,4)</f>
        <v>2006</v>
      </c>
      <c r="B68" s="1933" t="s">
        <v>1757</v>
      </c>
      <c r="C68" s="1933" t="s">
        <v>155</v>
      </c>
      <c r="D68" s="1933" t="s">
        <v>40</v>
      </c>
      <c r="E68" s="1933" t="s">
        <v>3</v>
      </c>
      <c r="F68" s="1933" t="s">
        <v>1756</v>
      </c>
      <c r="G68" s="1934">
        <f>Commercial!C66/_xlfn.XLOOKUP(E68,Summary!C$4:C$7,Summary!E$4:E$7,"ERROR")*_xlfn.XLOOKUP(E68,Summary!C$4:C$7,Summary!D$4:D$7,"ERROR")</f>
        <v>8.9856940768117802E-2</v>
      </c>
      <c r="H68" s="1933"/>
      <c r="I68" s="1933"/>
      <c r="J68" s="1933"/>
      <c r="K68" s="1933"/>
      <c r="L68" s="1933"/>
      <c r="M68" s="1933"/>
      <c r="N68" s="1933"/>
      <c r="O68" s="1933"/>
      <c r="P68" s="1933"/>
      <c r="Q68" s="1933"/>
      <c r="R68" s="1933"/>
      <c r="S68" s="1933"/>
      <c r="T68" s="1933"/>
      <c r="U68" s="1933"/>
      <c r="V68" s="1933"/>
      <c r="W68" s="1933"/>
      <c r="X68" s="1933"/>
      <c r="Y68" s="1933"/>
      <c r="Z68" s="1933"/>
    </row>
    <row r="69" spans="1:26" ht="12" x14ac:dyDescent="0.2">
      <c r="A69" s="1933" t="str">
        <f>MID(Summary!$B$1,FIND(" ",Summary!$B$1,1)+1,4)</f>
        <v>2006</v>
      </c>
      <c r="B69" s="1933" t="s">
        <v>1757</v>
      </c>
      <c r="C69" s="1933" t="s">
        <v>155</v>
      </c>
      <c r="D69" s="1933" t="s">
        <v>40</v>
      </c>
      <c r="E69" s="1933" t="s">
        <v>4</v>
      </c>
      <c r="F69" s="1933" t="s">
        <v>1756</v>
      </c>
      <c r="G69" s="1934">
        <f>Commercial!D66/_xlfn.XLOOKUP(E69,Summary!C$4:C$7,Summary!E$4:E$7,"ERROR")*_xlfn.XLOOKUP(E69,Summary!C$4:C$7,Summary!D$4:D$7,"ERROR")</f>
        <v>7.7424620923434613E-4</v>
      </c>
      <c r="H69" s="1933"/>
      <c r="I69" s="1933"/>
      <c r="J69" s="1933"/>
      <c r="K69" s="1933"/>
      <c r="L69" s="1933"/>
      <c r="M69" s="1933"/>
      <c r="N69" s="1933"/>
      <c r="O69" s="1933"/>
      <c r="P69" s="1933"/>
      <c r="Q69" s="1933"/>
      <c r="R69" s="1933"/>
      <c r="S69" s="1933"/>
      <c r="T69" s="1933"/>
      <c r="U69" s="1933"/>
      <c r="V69" s="1933"/>
      <c r="W69" s="1933"/>
      <c r="X69" s="1933"/>
      <c r="Y69" s="1933"/>
      <c r="Z69" s="1933"/>
    </row>
    <row r="70" spans="1:26" ht="12" x14ac:dyDescent="0.2">
      <c r="A70" s="1933" t="str">
        <f>MID(Summary!$B$1,FIND(" ",Summary!$B$1,1)+1,4)</f>
        <v>2006</v>
      </c>
      <c r="B70" s="1933" t="s">
        <v>1757</v>
      </c>
      <c r="C70" s="1933" t="s">
        <v>155</v>
      </c>
      <c r="D70" s="1933" t="s">
        <v>40</v>
      </c>
      <c r="E70" s="1933" t="s">
        <v>5</v>
      </c>
      <c r="F70" s="1933" t="s">
        <v>1756</v>
      </c>
      <c r="G70" s="1934">
        <f>Commercial!E66/_xlfn.XLOOKUP(E70,Summary!C$4:C$7,Summary!E$4:E$7,"ERROR")*_xlfn.XLOOKUP(E70,Summary!C$4:C$7,Summary!D$4:D$7,"ERROR")</f>
        <v>3.9046037276042455E-4</v>
      </c>
      <c r="H70" s="1933"/>
      <c r="I70" s="1933"/>
      <c r="J70" s="1933"/>
      <c r="K70" s="1933"/>
      <c r="L70" s="1933"/>
      <c r="M70" s="1933"/>
      <c r="N70" s="1933"/>
      <c r="O70" s="1933"/>
      <c r="P70" s="1933"/>
      <c r="Q70" s="1933"/>
      <c r="R70" s="1933"/>
      <c r="S70" s="1933"/>
      <c r="T70" s="1933"/>
      <c r="U70" s="1933"/>
      <c r="V70" s="1933"/>
      <c r="W70" s="1933"/>
      <c r="X70" s="1933"/>
      <c r="Y70" s="1933"/>
      <c r="Z70" s="1933"/>
    </row>
    <row r="71" spans="1:26" ht="12" x14ac:dyDescent="0.2">
      <c r="A71" s="1933" t="str">
        <f>MID(Summary!$B$1,FIND(" ",Summary!$B$1,1)+1,4)</f>
        <v>2006</v>
      </c>
      <c r="B71" s="1933" t="s">
        <v>1757</v>
      </c>
      <c r="C71" s="1933" t="s">
        <v>155</v>
      </c>
      <c r="D71" s="1933" t="s">
        <v>141</v>
      </c>
      <c r="E71" s="1933" t="s">
        <v>3</v>
      </c>
      <c r="F71" s="1933" t="s">
        <v>1756</v>
      </c>
      <c r="G71" s="1934">
        <f>Commercial!C67/_xlfn.XLOOKUP(E71,Summary!C$4:C$7,Summary!E$4:E$7,"ERROR")*_xlfn.XLOOKUP(E71,Summary!C$4:C$7,Summary!D$4:D$7,"ERROR")</f>
        <v>3.5216721256232284</v>
      </c>
      <c r="H71" s="1933"/>
      <c r="I71" s="1933"/>
      <c r="J71" s="1933"/>
      <c r="K71" s="1933"/>
      <c r="L71" s="1933"/>
      <c r="M71" s="1933"/>
      <c r="N71" s="1933"/>
      <c r="O71" s="1933"/>
      <c r="P71" s="1933"/>
      <c r="Q71" s="1933"/>
      <c r="R71" s="1933"/>
      <c r="S71" s="1933"/>
      <c r="T71" s="1933"/>
      <c r="U71" s="1933"/>
      <c r="V71" s="1933"/>
      <c r="W71" s="1933"/>
      <c r="X71" s="1933"/>
      <c r="Y71" s="1933"/>
      <c r="Z71" s="1933"/>
    </row>
    <row r="72" spans="1:26" ht="12" x14ac:dyDescent="0.2">
      <c r="A72" s="1933" t="str">
        <f>MID(Summary!$B$1,FIND(" ",Summary!$B$1,1)+1,4)</f>
        <v>2006</v>
      </c>
      <c r="B72" s="1933" t="s">
        <v>1757</v>
      </c>
      <c r="C72" s="1933" t="s">
        <v>155</v>
      </c>
      <c r="D72" s="1933" t="s">
        <v>141</v>
      </c>
      <c r="E72" s="1933" t="s">
        <v>4</v>
      </c>
      <c r="F72" s="1933" t="s">
        <v>1756</v>
      </c>
      <c r="G72" s="1934">
        <f>Commercial!D67/_xlfn.XLOOKUP(E72,Summary!C$4:C$7,Summary!E$4:E$7,"ERROR")*_xlfn.XLOOKUP(E72,Summary!C$4:C$7,Summary!D$4:D$7,"ERROR")</f>
        <v>2.6028858059445808E-2</v>
      </c>
      <c r="H72" s="1933"/>
      <c r="I72" s="1933"/>
      <c r="J72" s="1933"/>
      <c r="K72" s="1933"/>
      <c r="L72" s="1933"/>
      <c r="M72" s="1933"/>
      <c r="N72" s="1933"/>
      <c r="O72" s="1933"/>
      <c r="P72" s="1933"/>
      <c r="Q72" s="1933"/>
      <c r="R72" s="1933"/>
      <c r="S72" s="1933"/>
      <c r="T72" s="1933"/>
      <c r="U72" s="1933"/>
      <c r="V72" s="1933"/>
      <c r="W72" s="1933"/>
      <c r="X72" s="1933"/>
      <c r="Y72" s="1933"/>
      <c r="Z72" s="1933"/>
    </row>
    <row r="73" spans="1:26" ht="12" x14ac:dyDescent="0.2">
      <c r="A73" s="1933" t="str">
        <f>MID(Summary!$B$1,FIND(" ",Summary!$B$1,1)+1,4)</f>
        <v>2006</v>
      </c>
      <c r="B73" s="1933" t="s">
        <v>1757</v>
      </c>
      <c r="C73" s="1933" t="s">
        <v>155</v>
      </c>
      <c r="D73" s="1933" t="s">
        <v>141</v>
      </c>
      <c r="E73" s="1933" t="s">
        <v>5</v>
      </c>
      <c r="F73" s="1933" t="s">
        <v>1756</v>
      </c>
      <c r="G73" s="1934">
        <f>Commercial!E67/_xlfn.XLOOKUP(E73,Summary!C$4:C$7,Summary!E$4:E$7,"ERROR")*_xlfn.XLOOKUP(E73,Summary!C$4:C$7,Summary!D$4:D$7,"ERROR")</f>
        <v>1.8785719566015132E-3</v>
      </c>
      <c r="H73" s="1933"/>
      <c r="I73" s="1933"/>
      <c r="J73" s="1933"/>
      <c r="K73" s="1933"/>
      <c r="L73" s="1933"/>
      <c r="M73" s="1933"/>
      <c r="N73" s="1933"/>
      <c r="O73" s="1933"/>
      <c r="P73" s="1933"/>
      <c r="Q73" s="1933"/>
      <c r="R73" s="1933"/>
      <c r="S73" s="1933"/>
      <c r="T73" s="1933"/>
      <c r="U73" s="1933"/>
      <c r="V73" s="1933"/>
      <c r="W73" s="1933"/>
      <c r="X73" s="1933"/>
      <c r="Y73" s="1933"/>
      <c r="Z73" s="1933"/>
    </row>
    <row r="74" spans="1:26" ht="12" x14ac:dyDescent="0.2">
      <c r="A74" s="1933" t="str">
        <f>MID(Summary!$B$1,FIND(" ",Summary!$B$1,1)+1,4)</f>
        <v>2006</v>
      </c>
      <c r="B74" s="1933" t="s">
        <v>1757</v>
      </c>
      <c r="C74" s="1933" t="s">
        <v>155</v>
      </c>
      <c r="D74" s="1933" t="s">
        <v>74</v>
      </c>
      <c r="E74" s="1933" t="s">
        <v>3</v>
      </c>
      <c r="F74" s="1933" t="s">
        <v>1756</v>
      </c>
      <c r="G74" s="1934">
        <f>Commercial!C68/_xlfn.XLOOKUP(E74,Summary!C$4:C$7,Summary!E$4:E$7,"ERROR")*_xlfn.XLOOKUP(E74,Summary!C$4:C$7,Summary!D$4:D$7,"ERROR")</f>
        <v>0.8283250238836426</v>
      </c>
      <c r="H74" s="1933"/>
      <c r="I74" s="1933"/>
      <c r="J74" s="1933"/>
      <c r="K74" s="1933"/>
      <c r="L74" s="1933"/>
      <c r="M74" s="1933"/>
      <c r="N74" s="1933"/>
      <c r="O74" s="1933"/>
      <c r="P74" s="1933"/>
      <c r="Q74" s="1933"/>
      <c r="R74" s="1933"/>
      <c r="S74" s="1933"/>
      <c r="T74" s="1933"/>
      <c r="U74" s="1933"/>
      <c r="V74" s="1933"/>
      <c r="W74" s="1933"/>
      <c r="X74" s="1933"/>
      <c r="Y74" s="1933"/>
      <c r="Z74" s="1933"/>
    </row>
    <row r="75" spans="1:26" ht="12" x14ac:dyDescent="0.2">
      <c r="A75" s="1933" t="str">
        <f>MID(Summary!$B$1,FIND(" ",Summary!$B$1,1)+1,4)</f>
        <v>2006</v>
      </c>
      <c r="B75" s="1933" t="s">
        <v>1757</v>
      </c>
      <c r="C75" s="1933" t="s">
        <v>155</v>
      </c>
      <c r="D75" s="1933" t="s">
        <v>74</v>
      </c>
      <c r="E75" s="1933" t="s">
        <v>4</v>
      </c>
      <c r="F75" s="1933" t="s">
        <v>1756</v>
      </c>
      <c r="G75" s="1934">
        <f>Commercial!D68/_xlfn.XLOOKUP(E75,Summary!C$4:C$7,Summary!E$4:E$7,"ERROR")*_xlfn.XLOOKUP(E75,Summary!C$4:C$7,Summary!D$4:D$7,"ERROR")</f>
        <v>9.2187889922262581E-3</v>
      </c>
      <c r="H75" s="1933"/>
      <c r="I75" s="1933"/>
      <c r="J75" s="1933"/>
      <c r="K75" s="1933"/>
      <c r="L75" s="1933"/>
      <c r="M75" s="1933"/>
      <c r="N75" s="1933"/>
      <c r="O75" s="1933"/>
      <c r="P75" s="1933"/>
      <c r="Q75" s="1933"/>
      <c r="R75" s="1933"/>
      <c r="S75" s="1933"/>
      <c r="T75" s="1933"/>
      <c r="U75" s="1933"/>
      <c r="V75" s="1933"/>
      <c r="W75" s="1933"/>
      <c r="X75" s="1933"/>
      <c r="Y75" s="1933"/>
      <c r="Z75" s="1933"/>
    </row>
    <row r="76" spans="1:26" ht="12" x14ac:dyDescent="0.2">
      <c r="A76" s="1933" t="str">
        <f>MID(Summary!$B$1,FIND(" ",Summary!$B$1,1)+1,4)</f>
        <v>2006</v>
      </c>
      <c r="B76" s="1933" t="s">
        <v>1757</v>
      </c>
      <c r="C76" s="1933" t="s">
        <v>155</v>
      </c>
      <c r="D76" s="1933" t="s">
        <v>74</v>
      </c>
      <c r="E76" s="1933" t="s">
        <v>5</v>
      </c>
      <c r="F76" s="1933" t="s">
        <v>1756</v>
      </c>
      <c r="G76" s="1934">
        <f>Commercial!E68/_xlfn.XLOOKUP(E76,Summary!C$4:C$7,Summary!E$4:E$7,"ERROR")*_xlfn.XLOOKUP(E76,Summary!C$4:C$7,Summary!D$4:D$7,"ERROR")</f>
        <v>1.8596522622249517E-3</v>
      </c>
      <c r="H76" s="1933"/>
      <c r="I76" s="1933"/>
      <c r="J76" s="1933"/>
      <c r="K76" s="1933"/>
      <c r="L76" s="1933"/>
      <c r="M76" s="1933"/>
      <c r="N76" s="1933"/>
      <c r="O76" s="1933"/>
      <c r="P76" s="1933"/>
      <c r="Q76" s="1933"/>
      <c r="R76" s="1933"/>
      <c r="S76" s="1933"/>
      <c r="T76" s="1933"/>
      <c r="U76" s="1933"/>
      <c r="V76" s="1933"/>
      <c r="W76" s="1933"/>
      <c r="X76" s="1933"/>
      <c r="Y76" s="1933"/>
      <c r="Z76" s="1933"/>
    </row>
    <row r="77" spans="1:26" ht="12" x14ac:dyDescent="0.2">
      <c r="A77" s="1933" t="str">
        <f>MID(Summary!$B$1,FIND(" ",Summary!$B$1,1)+1,4)</f>
        <v>2006</v>
      </c>
      <c r="B77" s="1933" t="s">
        <v>1757</v>
      </c>
      <c r="C77" s="1933" t="s">
        <v>155</v>
      </c>
      <c r="D77" s="1933" t="s">
        <v>103</v>
      </c>
      <c r="E77" s="1933" t="s">
        <v>3</v>
      </c>
      <c r="F77" s="1933" t="s">
        <v>1756</v>
      </c>
      <c r="G77" s="1934">
        <f>Commercial!C69/_xlfn.XLOOKUP(E77,Summary!C$4:C$7,Summary!E$4:E$7,"ERROR")*_xlfn.XLOOKUP(E77,Summary!C$4:C$7,Summary!D$4:D$7,"ERROR")</f>
        <v>0</v>
      </c>
      <c r="H77" s="1933"/>
      <c r="I77" s="1933"/>
      <c r="J77" s="1933"/>
      <c r="K77" s="1933"/>
      <c r="L77" s="1933"/>
      <c r="M77" s="1933"/>
      <c r="N77" s="1933"/>
      <c r="O77" s="1933"/>
      <c r="P77" s="1933"/>
      <c r="Q77" s="1933"/>
      <c r="R77" s="1933"/>
      <c r="S77" s="1933"/>
      <c r="T77" s="1933"/>
      <c r="U77" s="1933"/>
      <c r="V77" s="1933"/>
      <c r="W77" s="1933"/>
      <c r="X77" s="1933"/>
      <c r="Y77" s="1933"/>
      <c r="Z77" s="1933"/>
    </row>
    <row r="78" spans="1:26" ht="12" x14ac:dyDescent="0.2">
      <c r="A78" s="1933" t="str">
        <f>MID(Summary!$B$1,FIND(" ",Summary!$B$1,1)+1,4)</f>
        <v>2006</v>
      </c>
      <c r="B78" s="1933" t="s">
        <v>1757</v>
      </c>
      <c r="C78" s="1933" t="s">
        <v>155</v>
      </c>
      <c r="D78" s="1933" t="s">
        <v>103</v>
      </c>
      <c r="E78" s="1933" t="s">
        <v>4</v>
      </c>
      <c r="F78" s="1933" t="s">
        <v>1756</v>
      </c>
      <c r="G78" s="1934">
        <f>Commercial!D69/_xlfn.XLOOKUP(E78,Summary!C$4:C$7,Summary!E$4:E$7,"ERROR")*_xlfn.XLOOKUP(E78,Summary!C$4:C$7,Summary!D$4:D$7,"ERROR")</f>
        <v>4.8602917190366746E-2</v>
      </c>
      <c r="H78" s="1933"/>
      <c r="I78" s="1933"/>
      <c r="J78" s="1933"/>
      <c r="K78" s="1933"/>
      <c r="L78" s="1933"/>
      <c r="M78" s="1933"/>
      <c r="N78" s="1933"/>
      <c r="O78" s="1933"/>
      <c r="P78" s="1933"/>
      <c r="Q78" s="1933"/>
      <c r="R78" s="1933"/>
      <c r="S78" s="1933"/>
      <c r="T78" s="1933"/>
      <c r="U78" s="1933"/>
      <c r="V78" s="1933"/>
      <c r="W78" s="1933"/>
      <c r="X78" s="1933"/>
      <c r="Y78" s="1933"/>
      <c r="Z78" s="1933"/>
    </row>
    <row r="79" spans="1:26" ht="12" x14ac:dyDescent="0.2">
      <c r="A79" s="1933" t="str">
        <f>MID(Summary!$B$1,FIND(" ",Summary!$B$1,1)+1,4)</f>
        <v>2006</v>
      </c>
      <c r="B79" s="1933" t="s">
        <v>1757</v>
      </c>
      <c r="C79" s="1933" t="s">
        <v>155</v>
      </c>
      <c r="D79" s="1933" t="s">
        <v>103</v>
      </c>
      <c r="E79" s="1933" t="s">
        <v>5</v>
      </c>
      <c r="F79" s="1933" t="s">
        <v>1756</v>
      </c>
      <c r="G79" s="1934">
        <f>Commercial!E69/_xlfn.XLOOKUP(E79,Summary!C$4:C$7,Summary!E$4:E$7,"ERROR")*_xlfn.XLOOKUP(E79,Summary!C$4:C$7,Summary!D$4:D$7,"ERROR")</f>
        <v>2.1787514602578193E-3</v>
      </c>
      <c r="H79" s="1933"/>
      <c r="J79" s="1933"/>
      <c r="K79" s="1933"/>
      <c r="L79" s="1933"/>
      <c r="M79" s="1933"/>
      <c r="N79" s="1933"/>
      <c r="O79" s="1933"/>
      <c r="P79" s="1933"/>
      <c r="Q79" s="1933"/>
      <c r="R79" s="1933"/>
      <c r="S79" s="1933"/>
      <c r="T79" s="1933"/>
      <c r="U79" s="1933"/>
      <c r="V79" s="1933"/>
      <c r="W79" s="1933"/>
      <c r="X79" s="1933"/>
      <c r="Y79" s="1933"/>
      <c r="Z79" s="1933"/>
    </row>
    <row r="80" spans="1:26" ht="12" x14ac:dyDescent="0.2">
      <c r="A80" s="1933" t="str">
        <f>MID(Summary!$B$1,FIND(" ",Summary!$B$1,1)+1,4)</f>
        <v>2006</v>
      </c>
      <c r="B80" s="1933" t="s">
        <v>1757</v>
      </c>
      <c r="C80" s="1933" t="s">
        <v>157</v>
      </c>
      <c r="D80" s="1933" t="s">
        <v>40</v>
      </c>
      <c r="E80" s="1933" t="s">
        <v>3</v>
      </c>
      <c r="F80" s="1933" t="s">
        <v>1754</v>
      </c>
      <c r="G80" s="1934">
        <f>Industrial!C129</f>
        <v>2.8773830948334669</v>
      </c>
      <c r="L80" s="1933"/>
      <c r="M80" s="1933"/>
      <c r="N80" s="1933"/>
      <c r="O80" s="1933"/>
      <c r="P80" s="1933"/>
      <c r="Q80" s="1933"/>
      <c r="R80" s="1933"/>
      <c r="S80" s="1933"/>
      <c r="T80" s="1933"/>
      <c r="U80" s="1933"/>
      <c r="V80" s="1933"/>
      <c r="W80" s="1933"/>
      <c r="X80" s="1933"/>
      <c r="Y80" s="1933"/>
      <c r="Z80" s="1933"/>
    </row>
    <row r="81" spans="1:26" ht="12" x14ac:dyDescent="0.2">
      <c r="A81" s="1933" t="str">
        <f>MID(Summary!$B$1,FIND(" ",Summary!$B$1,1)+1,4)</f>
        <v>2006</v>
      </c>
      <c r="B81" s="1933" t="s">
        <v>1757</v>
      </c>
      <c r="C81" s="1933" t="s">
        <v>157</v>
      </c>
      <c r="D81" s="1933" t="s">
        <v>40</v>
      </c>
      <c r="E81" s="1933" t="s">
        <v>4</v>
      </c>
      <c r="F81" s="1933" t="s">
        <v>1754</v>
      </c>
      <c r="G81" s="1934">
        <f>Industrial!D129</f>
        <v>8.4237883515290105E-3</v>
      </c>
      <c r="L81" s="1933"/>
      <c r="M81" s="1933"/>
      <c r="N81" s="1933"/>
      <c r="O81" s="1933"/>
      <c r="P81" s="1933"/>
      <c r="Q81" s="1933"/>
      <c r="R81" s="1933"/>
      <c r="S81" s="1933"/>
      <c r="T81" s="1933"/>
      <c r="U81" s="1933"/>
      <c r="V81" s="1933"/>
      <c r="W81" s="1933"/>
      <c r="X81" s="1933"/>
      <c r="Y81" s="1933"/>
      <c r="Z81" s="1933"/>
    </row>
    <row r="82" spans="1:26" ht="12" x14ac:dyDescent="0.2">
      <c r="A82" s="1933" t="str">
        <f>MID(Summary!$B$1,FIND(" ",Summary!$B$1,1)+1,4)</f>
        <v>2006</v>
      </c>
      <c r="B82" s="1933" t="s">
        <v>1757</v>
      </c>
      <c r="C82" s="1933" t="s">
        <v>157</v>
      </c>
      <c r="D82" s="1933" t="s">
        <v>40</v>
      </c>
      <c r="E82" s="1933" t="s">
        <v>5</v>
      </c>
      <c r="F82" s="1933" t="s">
        <v>1754</v>
      </c>
      <c r="G82" s="1934">
        <f>Industrial!E129</f>
        <v>1.2363947419179677E-2</v>
      </c>
      <c r="L82" s="1933"/>
      <c r="M82" s="1933"/>
      <c r="N82" s="1933"/>
      <c r="O82" s="1933"/>
      <c r="P82" s="1933"/>
      <c r="Q82" s="1933"/>
      <c r="R82" s="1933"/>
      <c r="S82" s="1933"/>
      <c r="T82" s="1933"/>
      <c r="U82" s="1933"/>
      <c r="V82" s="1933"/>
      <c r="W82" s="1933"/>
      <c r="X82" s="1933"/>
      <c r="Y82" s="1933"/>
      <c r="Z82" s="1933"/>
    </row>
    <row r="83" spans="1:26" ht="12" x14ac:dyDescent="0.2">
      <c r="A83" s="1933" t="str">
        <f>MID(Summary!$B$1,FIND(" ",Summary!$B$1,1)+1,4)</f>
        <v>2006</v>
      </c>
      <c r="B83" s="1933" t="s">
        <v>1757</v>
      </c>
      <c r="C83" s="1933" t="s">
        <v>157</v>
      </c>
      <c r="D83" s="1933" t="s">
        <v>141</v>
      </c>
      <c r="E83" s="1933" t="s">
        <v>3</v>
      </c>
      <c r="F83" s="1933" t="s">
        <v>1754</v>
      </c>
      <c r="G83" s="1934">
        <f>Industrial!C130</f>
        <v>1.3347555001160651</v>
      </c>
      <c r="L83" s="1933"/>
      <c r="M83" s="1933"/>
      <c r="N83" s="1933"/>
      <c r="O83" s="1933"/>
      <c r="P83" s="1933"/>
      <c r="Q83" s="1933"/>
      <c r="R83" s="1933"/>
      <c r="S83" s="1933"/>
      <c r="T83" s="1933"/>
      <c r="U83" s="1933"/>
      <c r="V83" s="1933"/>
      <c r="W83" s="1933"/>
      <c r="X83" s="1933"/>
      <c r="Y83" s="1933"/>
      <c r="Z83" s="1933"/>
    </row>
    <row r="84" spans="1:26" ht="12" x14ac:dyDescent="0.2">
      <c r="A84" s="1933" t="str">
        <f>MID(Summary!$B$1,FIND(" ",Summary!$B$1,1)+1,4)</f>
        <v>2006</v>
      </c>
      <c r="B84" s="1933" t="s">
        <v>1757</v>
      </c>
      <c r="C84" s="1933" t="s">
        <v>157</v>
      </c>
      <c r="D84" s="1933" t="s">
        <v>141</v>
      </c>
      <c r="E84" s="1933" t="s">
        <v>4</v>
      </c>
      <c r="F84" s="1933" t="s">
        <v>1754</v>
      </c>
      <c r="G84" s="1934">
        <f>Industrial!D130</f>
        <v>6.7889220559173868E-4</v>
      </c>
      <c r="K84" s="1933"/>
      <c r="L84" s="1933"/>
      <c r="M84" s="1933"/>
      <c r="N84" s="1933"/>
      <c r="O84" s="1933"/>
      <c r="P84" s="1933"/>
      <c r="Q84" s="1933"/>
      <c r="R84" s="1933"/>
      <c r="S84" s="1933"/>
      <c r="T84" s="1933"/>
      <c r="U84" s="1933"/>
      <c r="V84" s="1933"/>
      <c r="W84" s="1933"/>
      <c r="X84" s="1933"/>
      <c r="Y84" s="1933"/>
      <c r="Z84" s="1933"/>
    </row>
    <row r="85" spans="1:26" ht="12" x14ac:dyDescent="0.2">
      <c r="A85" s="1933" t="str">
        <f>MID(Summary!$B$1,FIND(" ",Summary!$B$1,1)+1,4)</f>
        <v>2006</v>
      </c>
      <c r="B85" s="1933" t="s">
        <v>1757</v>
      </c>
      <c r="C85" s="1933" t="s">
        <v>157</v>
      </c>
      <c r="D85" s="1933" t="s">
        <v>141</v>
      </c>
      <c r="E85" s="1933" t="s">
        <v>5</v>
      </c>
      <c r="F85" s="1933" t="s">
        <v>1754</v>
      </c>
      <c r="G85" s="1934">
        <f>Industrial!E130</f>
        <v>7.4451767662047144E-4</v>
      </c>
      <c r="J85" s="1933"/>
      <c r="K85" s="1933"/>
      <c r="L85" s="1933"/>
      <c r="M85" s="1933"/>
      <c r="N85" s="1933"/>
      <c r="O85" s="1933"/>
      <c r="P85" s="1933"/>
      <c r="Q85" s="1933"/>
      <c r="R85" s="1933"/>
      <c r="S85" s="1933"/>
      <c r="T85" s="1933"/>
      <c r="U85" s="1933"/>
      <c r="V85" s="1933"/>
      <c r="W85" s="1933"/>
      <c r="X85" s="1933"/>
      <c r="Y85" s="1933"/>
      <c r="Z85" s="1933"/>
    </row>
    <row r="86" spans="1:26" ht="12" x14ac:dyDescent="0.2">
      <c r="A86" s="1933" t="str">
        <f>MID(Summary!$B$1,FIND(" ",Summary!$B$1,1)+1,4)</f>
        <v>2006</v>
      </c>
      <c r="B86" s="1933" t="s">
        <v>1757</v>
      </c>
      <c r="C86" s="1933" t="s">
        <v>157</v>
      </c>
      <c r="D86" s="1933" t="s">
        <v>74</v>
      </c>
      <c r="E86" s="1933" t="s">
        <v>3</v>
      </c>
      <c r="F86" s="1933" t="s">
        <v>1754</v>
      </c>
      <c r="G86" s="1934">
        <f>Industrial!C131</f>
        <v>2.1090377024579023</v>
      </c>
      <c r="J86" s="1933"/>
      <c r="K86" s="1933"/>
      <c r="L86" s="1933"/>
      <c r="M86" s="1933"/>
      <c r="N86" s="1933"/>
      <c r="O86" s="1933"/>
      <c r="P86" s="1933"/>
      <c r="Q86" s="1933"/>
      <c r="R86" s="1933"/>
      <c r="S86" s="1933"/>
      <c r="T86" s="1933"/>
      <c r="U86" s="1933"/>
      <c r="V86" s="1933"/>
      <c r="W86" s="1933"/>
      <c r="X86" s="1933"/>
      <c r="Y86" s="1933"/>
      <c r="Z86" s="1933"/>
    </row>
    <row r="87" spans="1:26" ht="12" x14ac:dyDescent="0.2">
      <c r="A87" s="1933" t="str">
        <f>MID(Summary!$B$1,FIND(" ",Summary!$B$1,1)+1,4)</f>
        <v>2006</v>
      </c>
      <c r="B87" s="1933" t="s">
        <v>1757</v>
      </c>
      <c r="C87" s="1933" t="s">
        <v>157</v>
      </c>
      <c r="D87" s="1933" t="s">
        <v>74</v>
      </c>
      <c r="E87" s="1933" t="s">
        <v>4</v>
      </c>
      <c r="F87" s="1933" t="s">
        <v>1754</v>
      </c>
      <c r="G87" s="1934">
        <f>Industrial!D131</f>
        <v>1.9300092122108913E-3</v>
      </c>
      <c r="J87" s="1933"/>
      <c r="K87" s="1933"/>
      <c r="L87" s="1933"/>
      <c r="M87" s="1933"/>
      <c r="N87" s="1933"/>
      <c r="O87" s="1933"/>
      <c r="P87" s="1933"/>
      <c r="Q87" s="1933"/>
      <c r="R87" s="1933"/>
      <c r="S87" s="1933"/>
      <c r="T87" s="1933"/>
      <c r="U87" s="1933"/>
      <c r="V87" s="1933"/>
      <c r="W87" s="1933"/>
      <c r="X87" s="1933"/>
      <c r="Y87" s="1933"/>
      <c r="Z87" s="1933"/>
    </row>
    <row r="88" spans="1:26" ht="12" x14ac:dyDescent="0.2">
      <c r="A88" s="1933" t="str">
        <f>MID(Summary!$B$1,FIND(" ",Summary!$B$1,1)+1,4)</f>
        <v>2006</v>
      </c>
      <c r="B88" s="1933" t="s">
        <v>1757</v>
      </c>
      <c r="C88" s="1933" t="s">
        <v>157</v>
      </c>
      <c r="D88" s="1933" t="s">
        <v>74</v>
      </c>
      <c r="E88" s="1933" t="s">
        <v>5</v>
      </c>
      <c r="F88" s="1933" t="s">
        <v>1754</v>
      </c>
      <c r="G88" s="1934">
        <f>Industrial!E131</f>
        <v>3.7770072755094856E-3</v>
      </c>
      <c r="J88" s="1933"/>
      <c r="K88" s="1933"/>
      <c r="L88" s="1933"/>
      <c r="M88" s="1933"/>
      <c r="N88" s="1933"/>
      <c r="O88" s="1933"/>
      <c r="P88" s="1933"/>
      <c r="Q88" s="1933"/>
      <c r="R88" s="1933"/>
      <c r="S88" s="1933"/>
      <c r="T88" s="1933"/>
      <c r="U88" s="1933"/>
      <c r="V88" s="1933"/>
      <c r="W88" s="1933"/>
      <c r="X88" s="1933"/>
      <c r="Y88" s="1933"/>
      <c r="Z88" s="1933"/>
    </row>
    <row r="89" spans="1:26" ht="12" x14ac:dyDescent="0.2">
      <c r="A89" s="1933" t="str">
        <f>MID(Summary!$B$1,FIND(" ",Summary!$B$1,1)+1,4)</f>
        <v>2006</v>
      </c>
      <c r="B89" s="1933" t="s">
        <v>1757</v>
      </c>
      <c r="C89" s="1933" t="s">
        <v>157</v>
      </c>
      <c r="D89" s="1933" t="s">
        <v>103</v>
      </c>
      <c r="E89" s="1933" t="s">
        <v>3</v>
      </c>
      <c r="F89" s="1933" t="s">
        <v>1754</v>
      </c>
      <c r="G89" s="1934">
        <f>Industrial!C132</f>
        <v>0</v>
      </c>
      <c r="J89" s="1933"/>
      <c r="K89" s="1933"/>
      <c r="L89" s="1933"/>
      <c r="M89" s="1933"/>
      <c r="N89" s="1933"/>
      <c r="O89" s="1933"/>
      <c r="P89" s="1933"/>
      <c r="Q89" s="1933"/>
      <c r="R89" s="1933"/>
      <c r="S89" s="1933"/>
      <c r="T89" s="1933"/>
      <c r="U89" s="1933"/>
      <c r="V89" s="1933"/>
      <c r="W89" s="1933"/>
      <c r="X89" s="1933"/>
      <c r="Y89" s="1933"/>
      <c r="Z89" s="1933"/>
    </row>
    <row r="90" spans="1:26" ht="12" x14ac:dyDescent="0.2">
      <c r="A90" s="1933" t="str">
        <f>MID(Summary!$B$1,FIND(" ",Summary!$B$1,1)+1,4)</f>
        <v>2006</v>
      </c>
      <c r="B90" s="1933" t="s">
        <v>1757</v>
      </c>
      <c r="C90" s="1933" t="s">
        <v>157</v>
      </c>
      <c r="D90" s="1933" t="s">
        <v>103</v>
      </c>
      <c r="E90" s="1933" t="s">
        <v>4</v>
      </c>
      <c r="F90" s="1933" t="s">
        <v>1754</v>
      </c>
      <c r="G90" s="1934">
        <f>Industrial!D132</f>
        <v>9.6687084635352725E-3</v>
      </c>
      <c r="J90" s="1933"/>
      <c r="K90" s="1933"/>
      <c r="L90" s="1933"/>
      <c r="M90" s="1933"/>
      <c r="N90" s="1933"/>
      <c r="O90" s="1933"/>
      <c r="P90" s="1933"/>
      <c r="Q90" s="1933"/>
      <c r="R90" s="1933"/>
      <c r="S90" s="1933"/>
      <c r="T90" s="1933"/>
      <c r="U90" s="1933"/>
      <c r="V90" s="1933"/>
      <c r="W90" s="1933"/>
      <c r="X90" s="1933"/>
      <c r="Y90" s="1933"/>
      <c r="Z90" s="1933"/>
    </row>
    <row r="91" spans="1:26" ht="12" x14ac:dyDescent="0.2">
      <c r="A91" s="1933" t="str">
        <f>MID(Summary!$B$1,FIND(" ",Summary!$B$1,1)+1,4)</f>
        <v>2006</v>
      </c>
      <c r="B91" s="1933" t="s">
        <v>1757</v>
      </c>
      <c r="C91" s="1933" t="s">
        <v>157</v>
      </c>
      <c r="D91" s="1933" t="s">
        <v>103</v>
      </c>
      <c r="E91" s="1933" t="s">
        <v>5</v>
      </c>
      <c r="F91" s="1933" t="s">
        <v>1754</v>
      </c>
      <c r="G91" s="1934">
        <f>Industrial!E132</f>
        <v>1.2614372332354264E-2</v>
      </c>
      <c r="J91" s="1933"/>
      <c r="K91" s="1933"/>
      <c r="L91" s="1933"/>
      <c r="M91" s="1933"/>
      <c r="N91" s="1933"/>
      <c r="O91" s="1933"/>
      <c r="P91" s="1933"/>
      <c r="Q91" s="1933"/>
      <c r="R91" s="1933"/>
      <c r="S91" s="1933"/>
      <c r="T91" s="1933"/>
      <c r="U91" s="1933"/>
      <c r="V91" s="1933"/>
      <c r="W91" s="1933"/>
      <c r="X91" s="1933"/>
      <c r="Y91" s="1933"/>
      <c r="Z91" s="1933"/>
    </row>
    <row r="92" spans="1:26" ht="12" x14ac:dyDescent="0.2">
      <c r="A92" s="1933" t="str">
        <f>MID(Summary!$B$1,FIND(" ",Summary!$B$1,1)+1,4)</f>
        <v>2006</v>
      </c>
      <c r="B92" s="1933" t="s">
        <v>1757</v>
      </c>
      <c r="C92" s="1933" t="s">
        <v>157</v>
      </c>
      <c r="D92" s="1933" t="s">
        <v>40</v>
      </c>
      <c r="E92" s="1933" t="s">
        <v>3</v>
      </c>
      <c r="F92" s="1933" t="s">
        <v>1756</v>
      </c>
      <c r="G92" s="1934">
        <f>Industrial!C129/_xlfn.XLOOKUP(E92,Summary!C$4:C$7,Summary!E$4:E$7,"ERROR")*_xlfn.XLOOKUP(E92,Summary!C$4:C$7,Summary!D$4:D$7,"ERROR")</f>
        <v>2.8773830948334669</v>
      </c>
      <c r="H92" s="1933"/>
      <c r="I92" s="1933"/>
      <c r="J92" s="1933"/>
      <c r="K92" s="1933"/>
      <c r="L92" s="1933"/>
      <c r="M92" s="1933"/>
      <c r="N92" s="1933"/>
      <c r="O92" s="1933"/>
      <c r="P92" s="1933"/>
      <c r="Q92" s="1933"/>
      <c r="R92" s="1933"/>
      <c r="S92" s="1933"/>
      <c r="T92" s="1933"/>
      <c r="U92" s="1933"/>
      <c r="V92" s="1933"/>
      <c r="W92" s="1933"/>
      <c r="X92" s="1933"/>
      <c r="Y92" s="1933"/>
      <c r="Z92" s="1933"/>
    </row>
    <row r="93" spans="1:26" ht="12" x14ac:dyDescent="0.2">
      <c r="A93" s="1933" t="str">
        <f>MID(Summary!$B$1,FIND(" ",Summary!$B$1,1)+1,4)</f>
        <v>2006</v>
      </c>
      <c r="B93" s="1933" t="s">
        <v>1757</v>
      </c>
      <c r="C93" s="1933" t="s">
        <v>157</v>
      </c>
      <c r="D93" s="1933" t="s">
        <v>40</v>
      </c>
      <c r="E93" s="1933" t="s">
        <v>4</v>
      </c>
      <c r="F93" s="1933" t="s">
        <v>1756</v>
      </c>
      <c r="G93" s="1934">
        <f>Industrial!D129/_xlfn.XLOOKUP(E93,Summary!C$4:C$7,Summary!E$4:E$7,"ERROR")*_xlfn.XLOOKUP(E93,Summary!C$4:C$7,Summary!D$4:D$7,"ERROR")</f>
        <v>2.4516545309826367E-2</v>
      </c>
      <c r="H93" s="1933"/>
      <c r="I93" s="1933"/>
      <c r="J93" s="1933"/>
      <c r="K93" s="1933"/>
      <c r="L93" s="1933"/>
      <c r="M93" s="1933"/>
      <c r="N93" s="1933"/>
      <c r="O93" s="1933"/>
      <c r="P93" s="1933"/>
      <c r="Q93" s="1933"/>
      <c r="R93" s="1933"/>
      <c r="S93" s="1933"/>
      <c r="T93" s="1933"/>
      <c r="U93" s="1933"/>
      <c r="V93" s="1933"/>
      <c r="W93" s="1933"/>
      <c r="X93" s="1933"/>
      <c r="Y93" s="1933"/>
      <c r="Z93" s="1933"/>
    </row>
    <row r="94" spans="1:26" ht="12" x14ac:dyDescent="0.2">
      <c r="A94" s="1933" t="str">
        <f>MID(Summary!$B$1,FIND(" ",Summary!$B$1,1)+1,4)</f>
        <v>2006</v>
      </c>
      <c r="B94" s="1933" t="s">
        <v>1757</v>
      </c>
      <c r="C94" s="1933" t="s">
        <v>157</v>
      </c>
      <c r="D94" s="1933" t="s">
        <v>40</v>
      </c>
      <c r="E94" s="1933" t="s">
        <v>5</v>
      </c>
      <c r="F94" s="1933" t="s">
        <v>1756</v>
      </c>
      <c r="G94" s="1934">
        <f>Industrial!E129/_xlfn.XLOOKUP(E94,Summary!C$4:C$7,Summary!E$4:E$7,"ERROR")*_xlfn.XLOOKUP(E94,Summary!C$4:C$7,Summary!D$4:D$7,"ERROR")</f>
        <v>1.2363947419179677E-2</v>
      </c>
      <c r="H94" s="1933"/>
      <c r="I94" s="1933"/>
      <c r="J94" s="1933"/>
      <c r="K94" s="1933"/>
      <c r="L94" s="1933"/>
      <c r="M94" s="1933"/>
      <c r="N94" s="1933"/>
      <c r="O94" s="1933"/>
      <c r="P94" s="1933"/>
      <c r="Q94" s="1933"/>
      <c r="R94" s="1933"/>
      <c r="S94" s="1933"/>
      <c r="T94" s="1933"/>
      <c r="U94" s="1933"/>
      <c r="V94" s="1933"/>
      <c r="W94" s="1933"/>
      <c r="X94" s="1933"/>
      <c r="Y94" s="1933"/>
      <c r="Z94" s="1933"/>
    </row>
    <row r="95" spans="1:26" ht="12" x14ac:dyDescent="0.2">
      <c r="A95" s="1933" t="str">
        <f>MID(Summary!$B$1,FIND(" ",Summary!$B$1,1)+1,4)</f>
        <v>2006</v>
      </c>
      <c r="B95" s="1933" t="s">
        <v>1757</v>
      </c>
      <c r="C95" s="1933" t="s">
        <v>157</v>
      </c>
      <c r="D95" s="1933" t="s">
        <v>141</v>
      </c>
      <c r="E95" s="1933" t="s">
        <v>3</v>
      </c>
      <c r="F95" s="1933" t="s">
        <v>1756</v>
      </c>
      <c r="G95" s="1934">
        <f>Industrial!C130/_xlfn.XLOOKUP(E95,Summary!C$4:C$7,Summary!E$4:E$7,"ERROR")*_xlfn.XLOOKUP(E95,Summary!C$4:C$7,Summary!D$4:D$7,"ERROR")</f>
        <v>1.3347555001160651</v>
      </c>
      <c r="H95" s="1933"/>
      <c r="I95" s="1933"/>
      <c r="J95" s="1933"/>
      <c r="K95" s="1933"/>
      <c r="L95" s="1933"/>
      <c r="M95" s="1933"/>
      <c r="N95" s="1933"/>
      <c r="O95" s="1933"/>
      <c r="P95" s="1933"/>
      <c r="Q95" s="1933"/>
      <c r="R95" s="1933"/>
      <c r="S95" s="1933"/>
      <c r="T95" s="1933"/>
      <c r="U95" s="1933"/>
      <c r="V95" s="1933"/>
      <c r="W95" s="1933"/>
      <c r="X95" s="1933"/>
      <c r="Y95" s="1933"/>
      <c r="Z95" s="1933"/>
    </row>
    <row r="96" spans="1:26" ht="12" x14ac:dyDescent="0.2">
      <c r="A96" s="1933" t="str">
        <f>MID(Summary!$B$1,FIND(" ",Summary!$B$1,1)+1,4)</f>
        <v>2006</v>
      </c>
      <c r="B96" s="1933" t="s">
        <v>1757</v>
      </c>
      <c r="C96" s="1933" t="s">
        <v>157</v>
      </c>
      <c r="D96" s="1933" t="s">
        <v>141</v>
      </c>
      <c r="E96" s="1933" t="s">
        <v>4</v>
      </c>
      <c r="F96" s="1933" t="s">
        <v>1756</v>
      </c>
      <c r="G96" s="1934">
        <f>Industrial!D130/_xlfn.XLOOKUP(E96,Summary!C$4:C$7,Summary!E$4:E$7,"ERROR")*_xlfn.XLOOKUP(E96,Summary!C$4:C$7,Summary!D$4:D$7,"ERROR")</f>
        <v>1.9758439818655621E-3</v>
      </c>
      <c r="H96" s="1933"/>
      <c r="I96" s="1933"/>
      <c r="J96" s="1933"/>
      <c r="K96" s="1933"/>
      <c r="L96" s="1933"/>
      <c r="M96" s="1933"/>
      <c r="N96" s="1933"/>
      <c r="O96" s="1933"/>
      <c r="P96" s="1933"/>
      <c r="Q96" s="1933"/>
      <c r="R96" s="1933"/>
      <c r="S96" s="1933"/>
      <c r="T96" s="1933"/>
      <c r="U96" s="1933"/>
      <c r="V96" s="1933"/>
      <c r="W96" s="1933"/>
      <c r="X96" s="1933"/>
      <c r="Y96" s="1933"/>
      <c r="Z96" s="1933"/>
    </row>
    <row r="97" spans="1:26" ht="12" x14ac:dyDescent="0.2">
      <c r="A97" s="1933" t="str">
        <f>MID(Summary!$B$1,FIND(" ",Summary!$B$1,1)+1,4)</f>
        <v>2006</v>
      </c>
      <c r="B97" s="1933" t="s">
        <v>1757</v>
      </c>
      <c r="C97" s="1933" t="s">
        <v>157</v>
      </c>
      <c r="D97" s="1933" t="s">
        <v>141</v>
      </c>
      <c r="E97" s="1933" t="s">
        <v>5</v>
      </c>
      <c r="F97" s="1933" t="s">
        <v>1756</v>
      </c>
      <c r="G97" s="1934">
        <f>Industrial!E130/_xlfn.XLOOKUP(E97,Summary!C$4:C$7,Summary!E$4:E$7,"ERROR")*_xlfn.XLOOKUP(E97,Summary!C$4:C$7,Summary!D$4:D$7,"ERROR")</f>
        <v>7.4451767662047144E-4</v>
      </c>
      <c r="H97" s="1933"/>
      <c r="I97" s="1933"/>
      <c r="J97" s="1933"/>
      <c r="K97" s="1933"/>
      <c r="L97" s="1933"/>
      <c r="M97" s="1933"/>
      <c r="N97" s="1933"/>
      <c r="O97" s="1933"/>
      <c r="P97" s="1933"/>
      <c r="Q97" s="1933"/>
      <c r="R97" s="1933"/>
      <c r="S97" s="1933"/>
      <c r="T97" s="1933"/>
      <c r="U97" s="1933"/>
      <c r="V97" s="1933"/>
      <c r="W97" s="1933"/>
      <c r="X97" s="1933"/>
      <c r="Y97" s="1933"/>
      <c r="Z97" s="1933"/>
    </row>
    <row r="98" spans="1:26" ht="12" x14ac:dyDescent="0.2">
      <c r="A98" s="1933" t="str">
        <f>MID(Summary!$B$1,FIND(" ",Summary!$B$1,1)+1,4)</f>
        <v>2006</v>
      </c>
      <c r="B98" s="1933" t="s">
        <v>1757</v>
      </c>
      <c r="C98" s="1933" t="s">
        <v>157</v>
      </c>
      <c r="D98" s="1933" t="s">
        <v>74</v>
      </c>
      <c r="E98" s="1933" t="s">
        <v>3</v>
      </c>
      <c r="F98" s="1933" t="s">
        <v>1756</v>
      </c>
      <c r="G98" s="1934">
        <f>Industrial!C131/_xlfn.XLOOKUP(E98,Summary!C$4:C$7,Summary!E$4:E$7,"ERROR")*_xlfn.XLOOKUP(E98,Summary!C$4:C$7,Summary!D$4:D$7,"ERROR")</f>
        <v>2.1090377024579023</v>
      </c>
      <c r="H98" s="1933"/>
      <c r="I98" s="1933"/>
      <c r="J98" s="1933"/>
      <c r="K98" s="1933"/>
      <c r="L98" s="1933"/>
      <c r="M98" s="1933"/>
      <c r="N98" s="1933"/>
      <c r="O98" s="1933"/>
      <c r="P98" s="1933"/>
      <c r="Q98" s="1933"/>
      <c r="R98" s="1933"/>
      <c r="S98" s="1933"/>
      <c r="T98" s="1933"/>
      <c r="U98" s="1933"/>
      <c r="V98" s="1933"/>
      <c r="W98" s="1933"/>
      <c r="X98" s="1933"/>
      <c r="Y98" s="1933"/>
      <c r="Z98" s="1933"/>
    </row>
    <row r="99" spans="1:26" ht="12" x14ac:dyDescent="0.2">
      <c r="A99" s="1933" t="str">
        <f>MID(Summary!$B$1,FIND(" ",Summary!$B$1,1)+1,4)</f>
        <v>2006</v>
      </c>
      <c r="B99" s="1933" t="s">
        <v>1757</v>
      </c>
      <c r="C99" s="1933" t="s">
        <v>157</v>
      </c>
      <c r="D99" s="1933" t="s">
        <v>74</v>
      </c>
      <c r="E99" s="1933" t="s">
        <v>4</v>
      </c>
      <c r="F99" s="1933" t="s">
        <v>1756</v>
      </c>
      <c r="G99" s="1934">
        <f>Industrial!D131/_xlfn.XLOOKUP(E99,Summary!C$4:C$7,Summary!E$4:E$7,"ERROR")*_xlfn.XLOOKUP(E99,Summary!C$4:C$7,Summary!D$4:D$7,"ERROR")</f>
        <v>5.6170877430653902E-3</v>
      </c>
      <c r="H99" s="1933"/>
      <c r="I99" s="1933"/>
      <c r="J99" s="1933"/>
      <c r="K99" s="1933"/>
      <c r="L99" s="1933"/>
      <c r="M99" s="1933"/>
      <c r="N99" s="1933"/>
      <c r="O99" s="1933"/>
      <c r="P99" s="1933"/>
      <c r="Q99" s="1933"/>
      <c r="R99" s="1933"/>
      <c r="S99" s="1933"/>
      <c r="T99" s="1933"/>
      <c r="U99" s="1933"/>
      <c r="V99" s="1933"/>
      <c r="W99" s="1933"/>
      <c r="X99" s="1933"/>
      <c r="Y99" s="1933"/>
      <c r="Z99" s="1933"/>
    </row>
    <row r="100" spans="1:26" ht="12" x14ac:dyDescent="0.2">
      <c r="A100" s="1933" t="str">
        <f>MID(Summary!$B$1,FIND(" ",Summary!$B$1,1)+1,4)</f>
        <v>2006</v>
      </c>
      <c r="B100" s="1933" t="s">
        <v>1757</v>
      </c>
      <c r="C100" s="1933" t="s">
        <v>157</v>
      </c>
      <c r="D100" s="1933" t="s">
        <v>74</v>
      </c>
      <c r="E100" s="1933" t="s">
        <v>5</v>
      </c>
      <c r="F100" s="1933" t="s">
        <v>1756</v>
      </c>
      <c r="G100" s="1934">
        <f>Industrial!E131/_xlfn.XLOOKUP(E100,Summary!C$4:C$7,Summary!E$4:E$7,"ERROR")*_xlfn.XLOOKUP(E100,Summary!C$4:C$7,Summary!D$4:D$7,"ERROR")</f>
        <v>3.7770072755094856E-3</v>
      </c>
      <c r="H100" s="1933"/>
      <c r="I100" s="1933"/>
      <c r="J100" s="1933"/>
      <c r="K100" s="1933"/>
      <c r="L100" s="1933"/>
      <c r="M100" s="1933"/>
      <c r="N100" s="1933"/>
      <c r="O100" s="1933"/>
      <c r="P100" s="1933"/>
      <c r="Q100" s="1933"/>
      <c r="R100" s="1933"/>
      <c r="S100" s="1933"/>
      <c r="T100" s="1933"/>
      <c r="U100" s="1933"/>
      <c r="V100" s="1933"/>
      <c r="W100" s="1933"/>
      <c r="X100" s="1933"/>
      <c r="Y100" s="1933"/>
      <c r="Z100" s="1933"/>
    </row>
    <row r="101" spans="1:26" ht="12" x14ac:dyDescent="0.2">
      <c r="A101" s="1933" t="str">
        <f>MID(Summary!$B$1,FIND(" ",Summary!$B$1,1)+1,4)</f>
        <v>2006</v>
      </c>
      <c r="B101" s="1933" t="s">
        <v>1757</v>
      </c>
      <c r="C101" s="1933" t="s">
        <v>157</v>
      </c>
      <c r="D101" s="1933" t="s">
        <v>103</v>
      </c>
      <c r="E101" s="1933" t="s">
        <v>3</v>
      </c>
      <c r="F101" s="1933" t="s">
        <v>1756</v>
      </c>
      <c r="G101" s="1934">
        <f>Industrial!C132/_xlfn.XLOOKUP(E101,Summary!C$4:C$7,Summary!E$4:E$7,"ERROR")*_xlfn.XLOOKUP(E101,Summary!C$4:C$7,Summary!D$4:D$7,"ERROR")</f>
        <v>0</v>
      </c>
      <c r="H101" s="1933"/>
      <c r="I101" s="1933"/>
      <c r="J101" s="1933"/>
      <c r="K101" s="1933"/>
      <c r="L101" s="1933"/>
      <c r="M101" s="1933"/>
      <c r="N101" s="1933"/>
      <c r="O101" s="1933"/>
      <c r="P101" s="1933"/>
      <c r="Q101" s="1933"/>
      <c r="R101" s="1933"/>
      <c r="S101" s="1933"/>
      <c r="T101" s="1933"/>
      <c r="U101" s="1933"/>
      <c r="V101" s="1933"/>
      <c r="W101" s="1933"/>
      <c r="X101" s="1933"/>
      <c r="Y101" s="1933"/>
      <c r="Z101" s="1933"/>
    </row>
    <row r="102" spans="1:26" ht="12" x14ac:dyDescent="0.2">
      <c r="A102" s="1933" t="str">
        <f>MID(Summary!$B$1,FIND(" ",Summary!$B$1,1)+1,4)</f>
        <v>2006</v>
      </c>
      <c r="B102" s="1933" t="s">
        <v>1757</v>
      </c>
      <c r="C102" s="1933" t="s">
        <v>157</v>
      </c>
      <c r="D102" s="1933" t="s">
        <v>103</v>
      </c>
      <c r="E102" s="1933" t="s">
        <v>4</v>
      </c>
      <c r="F102" s="1933" t="s">
        <v>1756</v>
      </c>
      <c r="G102" s="1934">
        <f>Industrial!D132/_xlfn.XLOOKUP(E102,Summary!C$4:C$7,Summary!E$4:E$7,"ERROR")*_xlfn.XLOOKUP(E102,Summary!C$4:C$7,Summary!D$4:D$7,"ERROR")</f>
        <v>2.8139753664482587E-2</v>
      </c>
      <c r="H102" s="1933"/>
      <c r="I102" s="1933"/>
      <c r="J102" s="1933"/>
      <c r="K102" s="1933"/>
      <c r="L102" s="1933"/>
      <c r="M102" s="1933"/>
      <c r="N102" s="1933"/>
      <c r="O102" s="1933"/>
      <c r="P102" s="1933"/>
      <c r="Q102" s="1933"/>
      <c r="R102" s="1933"/>
      <c r="S102" s="1933"/>
      <c r="T102" s="1933"/>
      <c r="U102" s="1933"/>
      <c r="V102" s="1933"/>
      <c r="W102" s="1933"/>
      <c r="X102" s="1933"/>
      <c r="Y102" s="1933"/>
      <c r="Z102" s="1933"/>
    </row>
    <row r="103" spans="1:26" ht="12" x14ac:dyDescent="0.2">
      <c r="A103" s="1933" t="str">
        <f>MID(Summary!$B$1,FIND(" ",Summary!$B$1,1)+1,4)</f>
        <v>2006</v>
      </c>
      <c r="B103" s="1933" t="s">
        <v>1757</v>
      </c>
      <c r="C103" s="1933" t="s">
        <v>157</v>
      </c>
      <c r="D103" s="1933" t="s">
        <v>103</v>
      </c>
      <c r="E103" s="1933" t="s">
        <v>5</v>
      </c>
      <c r="F103" s="1933" t="s">
        <v>1756</v>
      </c>
      <c r="G103" s="1934">
        <f>Industrial!E132/_xlfn.XLOOKUP(E103,Summary!C$4:C$7,Summary!E$4:E$7,"ERROR")*_xlfn.XLOOKUP(E103,Summary!C$4:C$7,Summary!D$4:D$7,"ERROR")</f>
        <v>1.2614372332354264E-2</v>
      </c>
      <c r="H103" s="1933"/>
      <c r="I103" s="1933"/>
      <c r="J103" s="1933"/>
      <c r="K103" s="1933"/>
      <c r="L103" s="1933"/>
      <c r="M103" s="1933"/>
      <c r="N103" s="1933"/>
      <c r="O103" s="1933"/>
      <c r="P103" s="1933"/>
      <c r="Q103" s="1933"/>
      <c r="R103" s="1933"/>
      <c r="S103" s="1933"/>
      <c r="T103" s="1933"/>
      <c r="U103" s="1933"/>
      <c r="V103" s="1933"/>
      <c r="W103" s="1933"/>
      <c r="X103" s="1933"/>
      <c r="Y103" s="1933"/>
      <c r="Z103" s="1933"/>
    </row>
    <row r="104" spans="1:26" ht="12" x14ac:dyDescent="0.2">
      <c r="A104" s="1933" t="str">
        <f>MID(Summary!$B$1,FIND(" ",Summary!$B$1,1)+1,4)</f>
        <v>2006</v>
      </c>
      <c r="B104" s="1933" t="s">
        <v>165</v>
      </c>
      <c r="C104" s="1933" t="s">
        <v>1758</v>
      </c>
      <c r="D104" s="1933" t="s">
        <v>205</v>
      </c>
      <c r="E104" s="1933" t="s">
        <v>3</v>
      </c>
      <c r="F104" s="1933" t="s">
        <v>1754</v>
      </c>
      <c r="G104" s="1934">
        <f>Summary!E49</f>
        <v>23.195</v>
      </c>
      <c r="J104" s="1933"/>
      <c r="K104" s="1933"/>
      <c r="L104" s="1933"/>
      <c r="M104" s="1933"/>
      <c r="N104" s="1933"/>
      <c r="O104" s="1933"/>
      <c r="P104" s="1933"/>
      <c r="Q104" s="1933"/>
      <c r="R104" s="1933"/>
      <c r="S104" s="1933"/>
      <c r="T104" s="1933"/>
      <c r="U104" s="1933"/>
      <c r="V104" s="1933"/>
      <c r="W104" s="1933"/>
      <c r="X104" s="1933"/>
      <c r="Y104" s="1933"/>
      <c r="Z104" s="1933"/>
    </row>
    <row r="105" spans="1:26" ht="12" x14ac:dyDescent="0.2">
      <c r="A105" s="1933" t="str">
        <f>MID(Summary!$B$1,FIND(" ",Summary!$B$1,1)+1,4)</f>
        <v>2006</v>
      </c>
      <c r="B105" s="1933" t="s">
        <v>165</v>
      </c>
      <c r="C105" s="1933" t="s">
        <v>1758</v>
      </c>
      <c r="D105" s="1933" t="s">
        <v>205</v>
      </c>
      <c r="E105" s="1933" t="s">
        <v>4</v>
      </c>
      <c r="F105" s="1933" t="s">
        <v>1754</v>
      </c>
      <c r="G105" s="1934">
        <f>Summary!E50</f>
        <v>6.1379999999999997E-2</v>
      </c>
      <c r="J105" s="1933"/>
      <c r="K105" s="1933"/>
      <c r="L105" s="1933"/>
      <c r="M105" s="1933"/>
      <c r="N105" s="1933"/>
      <c r="O105" s="1933"/>
      <c r="P105" s="1933"/>
      <c r="Q105" s="1933"/>
      <c r="R105" s="1933"/>
      <c r="S105" s="1933"/>
      <c r="T105" s="1933"/>
      <c r="U105" s="1933"/>
      <c r="V105" s="1933"/>
      <c r="W105" s="1933"/>
      <c r="X105" s="1933"/>
      <c r="Y105" s="1933"/>
      <c r="Z105" s="1933"/>
    </row>
    <row r="106" spans="1:26" ht="12" x14ac:dyDescent="0.2">
      <c r="A106" s="1933" t="str">
        <f>MID(Summary!$B$1,FIND(" ",Summary!$B$1,1)+1,4)</f>
        <v>2006</v>
      </c>
      <c r="B106" s="1933" t="s">
        <v>165</v>
      </c>
      <c r="C106" s="1933" t="s">
        <v>1758</v>
      </c>
      <c r="D106" s="1933" t="s">
        <v>205</v>
      </c>
      <c r="E106" s="1933" t="s">
        <v>5</v>
      </c>
      <c r="F106" s="1933" t="s">
        <v>1754</v>
      </c>
      <c r="G106" s="1934">
        <f>Summary!E51</f>
        <v>0.45643838709677415</v>
      </c>
      <c r="K106" s="1933"/>
      <c r="L106" s="1933"/>
      <c r="M106" s="1933"/>
      <c r="N106" s="1933"/>
      <c r="O106" s="1933"/>
      <c r="P106" s="1933"/>
      <c r="Q106" s="1933"/>
      <c r="R106" s="1933"/>
      <c r="S106" s="1933"/>
      <c r="T106" s="1933"/>
      <c r="U106" s="1933"/>
      <c r="V106" s="1933"/>
      <c r="W106" s="1933"/>
      <c r="X106" s="1933"/>
      <c r="Y106" s="1933"/>
      <c r="Z106" s="1933"/>
    </row>
    <row r="107" spans="1:26" ht="12" x14ac:dyDescent="0.2">
      <c r="A107" s="1933" t="str">
        <f>MID(Summary!$B$1,FIND(" ",Summary!$B$1,1)+1,4)</f>
        <v>2006</v>
      </c>
      <c r="B107" s="1933" t="s">
        <v>165</v>
      </c>
      <c r="C107" s="1933" t="s">
        <v>1758</v>
      </c>
      <c r="D107" s="1933" t="s">
        <v>234</v>
      </c>
      <c r="E107" s="1933" t="s">
        <v>3</v>
      </c>
      <c r="F107" s="1933" t="s">
        <v>1754</v>
      </c>
      <c r="G107" s="1934">
        <f>Summary!E57</f>
        <v>5.907</v>
      </c>
      <c r="J107" s="1933"/>
      <c r="K107" s="1933"/>
      <c r="L107" s="1933"/>
      <c r="M107" s="1933"/>
      <c r="N107" s="1933"/>
      <c r="O107" s="1933"/>
      <c r="P107" s="1933"/>
      <c r="Q107" s="1933"/>
      <c r="R107" s="1933"/>
      <c r="S107" s="1933"/>
      <c r="T107" s="1933"/>
      <c r="U107" s="1933"/>
      <c r="V107" s="1933"/>
      <c r="W107" s="1933"/>
      <c r="X107" s="1933"/>
      <c r="Y107" s="1933"/>
      <c r="Z107" s="1933"/>
    </row>
    <row r="108" spans="1:26" ht="12" x14ac:dyDescent="0.2">
      <c r="A108" s="1933" t="str">
        <f>MID(Summary!$B$1,FIND(" ",Summary!$B$1,1)+1,4)</f>
        <v>2006</v>
      </c>
      <c r="B108" s="1933" t="s">
        <v>165</v>
      </c>
      <c r="C108" s="1933" t="s">
        <v>1758</v>
      </c>
      <c r="D108" s="1933" t="s">
        <v>234</v>
      </c>
      <c r="E108" s="1933" t="s">
        <v>4</v>
      </c>
      <c r="F108" s="1933" t="s">
        <v>1754</v>
      </c>
      <c r="G108" s="1934">
        <f>Summary!E58</f>
        <v>3.9857142857142852E-4</v>
      </c>
      <c r="J108" s="1933"/>
      <c r="K108" s="1933"/>
      <c r="L108" s="1933"/>
      <c r="M108" s="1933"/>
      <c r="N108" s="1933"/>
      <c r="O108" s="1933"/>
      <c r="P108" s="1933"/>
      <c r="Q108" s="1933"/>
      <c r="R108" s="1933"/>
      <c r="S108" s="1933"/>
      <c r="T108" s="1933"/>
      <c r="U108" s="1933"/>
      <c r="V108" s="1933"/>
      <c r="W108" s="1933"/>
      <c r="X108" s="1933"/>
      <c r="Y108" s="1933"/>
      <c r="Z108" s="1933"/>
    </row>
    <row r="109" spans="1:26" ht="12" x14ac:dyDescent="0.2">
      <c r="A109" s="1933" t="str">
        <f>MID(Summary!$B$1,FIND(" ",Summary!$B$1,1)+1,4)</f>
        <v>2006</v>
      </c>
      <c r="B109" s="1933" t="s">
        <v>165</v>
      </c>
      <c r="C109" s="1933" t="s">
        <v>1758</v>
      </c>
      <c r="D109" s="1933" t="s">
        <v>234</v>
      </c>
      <c r="E109" s="1933" t="s">
        <v>5</v>
      </c>
      <c r="F109" s="1933" t="s">
        <v>1754</v>
      </c>
      <c r="G109" s="1934">
        <f>Summary!E59</f>
        <v>2.6419354838709678E-3</v>
      </c>
      <c r="J109" s="1933"/>
      <c r="K109" s="1933"/>
      <c r="L109" s="1933"/>
      <c r="M109" s="1933"/>
      <c r="N109" s="1933"/>
      <c r="O109" s="1933"/>
      <c r="P109" s="1933"/>
      <c r="Q109" s="1933"/>
      <c r="R109" s="1933"/>
      <c r="S109" s="1933"/>
      <c r="T109" s="1933"/>
      <c r="U109" s="1933"/>
      <c r="V109" s="1933"/>
      <c r="W109" s="1933"/>
      <c r="X109" s="1933"/>
      <c r="Y109" s="1933"/>
      <c r="Z109" s="1933"/>
    </row>
    <row r="110" spans="1:26" ht="12" x14ac:dyDescent="0.2">
      <c r="A110" s="1933" t="str">
        <f>MID(Summary!$B$1,FIND(" ",Summary!$B$1,1)+1,4)</f>
        <v>2006</v>
      </c>
      <c r="B110" s="1933" t="s">
        <v>165</v>
      </c>
      <c r="C110" s="1933" t="s">
        <v>1759</v>
      </c>
      <c r="D110" s="1933" t="s">
        <v>219</v>
      </c>
      <c r="E110" s="1933" t="s">
        <v>3</v>
      </c>
      <c r="F110" s="1933" t="s">
        <v>1754</v>
      </c>
      <c r="G110" s="1934">
        <f>Summary!E53</f>
        <v>1.0395505155055149</v>
      </c>
      <c r="J110" s="1933"/>
      <c r="K110" s="1933"/>
      <c r="L110" s="1933"/>
      <c r="M110" s="1933"/>
      <c r="N110" s="1933"/>
      <c r="O110" s="1933"/>
      <c r="P110" s="1933"/>
      <c r="Q110" s="1933"/>
      <c r="R110" s="1933"/>
      <c r="S110" s="1933"/>
      <c r="T110" s="1933"/>
      <c r="U110" s="1933"/>
      <c r="V110" s="1933"/>
      <c r="W110" s="1933"/>
      <c r="X110" s="1933"/>
      <c r="Y110" s="1933"/>
      <c r="Z110" s="1933"/>
    </row>
    <row r="111" spans="1:26" ht="12" x14ac:dyDescent="0.2">
      <c r="A111" s="1933" t="str">
        <f>MID(Summary!$B$1,FIND(" ",Summary!$B$1,1)+1,4)</f>
        <v>2006</v>
      </c>
      <c r="B111" s="1933" t="s">
        <v>165</v>
      </c>
      <c r="C111" s="1933" t="s">
        <v>1759</v>
      </c>
      <c r="D111" s="1933" t="s">
        <v>219</v>
      </c>
      <c r="E111" s="1933" t="s">
        <v>4</v>
      </c>
      <c r="F111" s="1933" t="s">
        <v>1754</v>
      </c>
      <c r="G111" s="1934">
        <f>Summary!E54</f>
        <v>1.2228898665924534E-3</v>
      </c>
      <c r="J111" s="1933"/>
      <c r="K111" s="1933"/>
      <c r="L111" s="1933"/>
      <c r="M111" s="1933"/>
      <c r="N111" s="1933"/>
      <c r="O111" s="1933"/>
      <c r="P111" s="1933"/>
      <c r="Q111" s="1933"/>
      <c r="R111" s="1933"/>
      <c r="S111" s="1933"/>
      <c r="T111" s="1933"/>
      <c r="U111" s="1933"/>
      <c r="V111" s="1933"/>
      <c r="W111" s="1933"/>
      <c r="X111" s="1933"/>
      <c r="Y111" s="1933"/>
      <c r="Z111" s="1933"/>
    </row>
    <row r="112" spans="1:26" ht="12" x14ac:dyDescent="0.2">
      <c r="A112" s="1933" t="str">
        <f>MID(Summary!$B$1,FIND(" ",Summary!$B$1,1)+1,4)</f>
        <v>2006</v>
      </c>
      <c r="B112" s="1933" t="s">
        <v>165</v>
      </c>
      <c r="C112" s="1933" t="s">
        <v>1759</v>
      </c>
      <c r="D112" s="1933" t="s">
        <v>219</v>
      </c>
      <c r="E112" s="1933" t="s">
        <v>5</v>
      </c>
      <c r="F112" s="1933" t="s">
        <v>1754</v>
      </c>
      <c r="G112" s="1934">
        <f>Summary!E55</f>
        <v>3.2113393422493952E-3</v>
      </c>
      <c r="J112" s="1933"/>
      <c r="K112" s="1933"/>
      <c r="L112" s="1933"/>
      <c r="M112" s="1933"/>
      <c r="N112" s="1933"/>
      <c r="O112" s="1933"/>
      <c r="P112" s="1933"/>
      <c r="Q112" s="1933"/>
      <c r="R112" s="1933"/>
      <c r="S112" s="1933"/>
      <c r="T112" s="1933"/>
      <c r="U112" s="1933"/>
      <c r="V112" s="1933"/>
      <c r="W112" s="1933"/>
      <c r="X112" s="1933"/>
      <c r="Y112" s="1933"/>
      <c r="Z112" s="1933"/>
    </row>
    <row r="113" spans="1:26" ht="12" x14ac:dyDescent="0.2">
      <c r="A113" s="1933" t="str">
        <f>MID(Summary!$B$1,FIND(" ",Summary!$B$1,1)+1,4)</f>
        <v>2006</v>
      </c>
      <c r="B113" s="1933" t="s">
        <v>165</v>
      </c>
      <c r="C113" s="1933" t="s">
        <v>1759</v>
      </c>
      <c r="D113" s="1933" t="s">
        <v>251</v>
      </c>
      <c r="E113" s="1933" t="s">
        <v>3</v>
      </c>
      <c r="F113" s="1933" t="s">
        <v>1754</v>
      </c>
      <c r="G113" s="1934">
        <f>Summary!E61</f>
        <v>1.4880829330956415</v>
      </c>
      <c r="J113" s="1933"/>
      <c r="K113" s="1933"/>
      <c r="L113" s="1933"/>
      <c r="M113" s="1933"/>
      <c r="N113" s="1933"/>
      <c r="O113" s="1933"/>
      <c r="P113" s="1933"/>
      <c r="Q113" s="1933"/>
      <c r="R113" s="1933"/>
      <c r="S113" s="1933"/>
      <c r="T113" s="1933"/>
      <c r="U113" s="1933"/>
      <c r="V113" s="1933"/>
      <c r="W113" s="1933"/>
      <c r="X113" s="1933"/>
      <c r="Y113" s="1933"/>
      <c r="Z113" s="1933"/>
    </row>
    <row r="114" spans="1:26" ht="12" x14ac:dyDescent="0.2">
      <c r="A114" s="1933" t="str">
        <f>MID(Summary!$B$1,FIND(" ",Summary!$B$1,1)+1,4)</f>
        <v>2006</v>
      </c>
      <c r="B114" s="1933" t="s">
        <v>165</v>
      </c>
      <c r="C114" s="1933" t="s">
        <v>1759</v>
      </c>
      <c r="D114" s="1933" t="s">
        <v>251</v>
      </c>
      <c r="E114" s="1933" t="s">
        <v>4</v>
      </c>
      <c r="F114" s="1933" t="s">
        <v>1754</v>
      </c>
      <c r="G114" s="1934">
        <f>Summary!E62</f>
        <v>5.6084435524781078E-3</v>
      </c>
      <c r="J114" s="1933"/>
      <c r="K114" s="1933"/>
      <c r="L114" s="1933"/>
      <c r="M114" s="1933"/>
      <c r="N114" s="1933"/>
      <c r="O114" s="1933"/>
      <c r="P114" s="1933"/>
      <c r="Q114" s="1933"/>
      <c r="R114" s="1933"/>
      <c r="S114" s="1933"/>
      <c r="T114" s="1933"/>
      <c r="U114" s="1933"/>
      <c r="V114" s="1933"/>
      <c r="W114" s="1933"/>
      <c r="X114" s="1933"/>
      <c r="Y114" s="1933"/>
      <c r="Z114" s="1933"/>
    </row>
    <row r="115" spans="1:26" ht="12" x14ac:dyDescent="0.2">
      <c r="A115" s="1933" t="str">
        <f>MID(Summary!$B$1,FIND(" ",Summary!$B$1,1)+1,4)</f>
        <v>2006</v>
      </c>
      <c r="B115" s="1933" t="s">
        <v>165</v>
      </c>
      <c r="C115" s="1933" t="s">
        <v>1759</v>
      </c>
      <c r="D115" s="1933" t="s">
        <v>251</v>
      </c>
      <c r="E115" s="1933" t="s">
        <v>5</v>
      </c>
      <c r="F115" s="1933" t="s">
        <v>1754</v>
      </c>
      <c r="G115" s="1934">
        <f>Summary!E63</f>
        <v>1.0234710326886358E-2</v>
      </c>
      <c r="J115" s="1933"/>
      <c r="K115" s="1933"/>
      <c r="L115" s="1933"/>
      <c r="M115" s="1933"/>
      <c r="N115" s="1933"/>
      <c r="O115" s="1933"/>
      <c r="P115" s="1933"/>
      <c r="Q115" s="1933"/>
      <c r="R115" s="1933"/>
      <c r="S115" s="1933"/>
      <c r="T115" s="1933"/>
      <c r="U115" s="1933"/>
      <c r="V115" s="1933"/>
      <c r="W115" s="1933"/>
      <c r="X115" s="1933"/>
      <c r="Y115" s="1933"/>
      <c r="Z115" s="1933"/>
    </row>
    <row r="116" spans="1:26" ht="12" x14ac:dyDescent="0.2">
      <c r="A116" s="1933" t="str">
        <f>MID(Summary!$B$1,FIND(" ",Summary!$B$1,1)+1,4)</f>
        <v>2006</v>
      </c>
      <c r="B116" s="1933" t="s">
        <v>165</v>
      </c>
      <c r="C116" s="1933" t="s">
        <v>1759</v>
      </c>
      <c r="D116" s="1933" t="s">
        <v>260</v>
      </c>
      <c r="E116" s="1933" t="s">
        <v>3</v>
      </c>
      <c r="F116" s="1933" t="s">
        <v>1754</v>
      </c>
      <c r="G116" s="1934">
        <f>Summary!E65</f>
        <v>0.23660057910605095</v>
      </c>
      <c r="J116" s="1933"/>
      <c r="K116" s="1933"/>
      <c r="L116" s="1933"/>
      <c r="M116" s="1933"/>
      <c r="N116" s="1933"/>
      <c r="O116" s="1933"/>
      <c r="P116" s="1933"/>
      <c r="Q116" s="1933"/>
      <c r="R116" s="1933"/>
      <c r="S116" s="1933"/>
      <c r="T116" s="1933"/>
      <c r="U116" s="1933"/>
      <c r="V116" s="1933"/>
      <c r="W116" s="1933"/>
      <c r="X116" s="1933"/>
      <c r="Y116" s="1933"/>
      <c r="Z116" s="1933"/>
    </row>
    <row r="117" spans="1:26" ht="12" x14ac:dyDescent="0.2">
      <c r="A117" s="1933" t="str">
        <f>MID(Summary!$B$1,FIND(" ",Summary!$B$1,1)+1,4)</f>
        <v>2006</v>
      </c>
      <c r="B117" s="1933" t="s">
        <v>165</v>
      </c>
      <c r="C117" s="1933" t="s">
        <v>1759</v>
      </c>
      <c r="D117" s="1933" t="s">
        <v>260</v>
      </c>
      <c r="E117" s="1933" t="s">
        <v>4</v>
      </c>
      <c r="F117" s="1933" t="s">
        <v>1754</v>
      </c>
      <c r="G117" s="1934">
        <f>Summary!E66</f>
        <v>5.1970369040919004E-4</v>
      </c>
      <c r="J117" s="1933"/>
      <c r="K117" s="1933"/>
      <c r="L117" s="1933"/>
      <c r="M117" s="1933"/>
      <c r="N117" s="1933"/>
      <c r="O117" s="1933"/>
      <c r="P117" s="1933"/>
      <c r="Q117" s="1933"/>
      <c r="R117" s="1933"/>
      <c r="S117" s="1933"/>
      <c r="T117" s="1933"/>
      <c r="U117" s="1933"/>
      <c r="V117" s="1933"/>
      <c r="W117" s="1933"/>
      <c r="X117" s="1933"/>
      <c r="Y117" s="1933"/>
      <c r="Z117" s="1933"/>
    </row>
    <row r="118" spans="1:26" ht="12" x14ac:dyDescent="0.2">
      <c r="A118" s="1933" t="str">
        <f>MID(Summary!$B$1,FIND(" ",Summary!$B$1,1)+1,4)</f>
        <v>2006</v>
      </c>
      <c r="B118" s="1933" t="s">
        <v>165</v>
      </c>
      <c r="C118" s="1933" t="s">
        <v>1759</v>
      </c>
      <c r="D118" s="1933" t="s">
        <v>260</v>
      </c>
      <c r="E118" s="1933" t="s">
        <v>5</v>
      </c>
      <c r="F118" s="1933" t="s">
        <v>1754</v>
      </c>
      <c r="G118" s="1934">
        <f>Summary!E67</f>
        <v>1.627287254270496E-3</v>
      </c>
      <c r="J118" s="1933"/>
      <c r="K118" s="1933"/>
      <c r="L118" s="1933"/>
      <c r="M118" s="1933"/>
      <c r="N118" s="1933"/>
      <c r="O118" s="1933"/>
      <c r="P118" s="1933"/>
      <c r="Q118" s="1933"/>
      <c r="R118" s="1933"/>
      <c r="S118" s="1933"/>
      <c r="T118" s="1933"/>
      <c r="U118" s="1933"/>
      <c r="V118" s="1933"/>
      <c r="W118" s="1933"/>
      <c r="X118" s="1933"/>
      <c r="Y118" s="1933"/>
      <c r="Z118" s="1933"/>
    </row>
    <row r="119" spans="1:26" ht="12" x14ac:dyDescent="0.2">
      <c r="A119" s="1933" t="str">
        <f>MID(Summary!$B$1,FIND(" ",Summary!$B$1,1)+1,4)</f>
        <v>2006</v>
      </c>
      <c r="B119" s="1933" t="s">
        <v>165</v>
      </c>
      <c r="C119" s="1933" t="s">
        <v>1759</v>
      </c>
      <c r="D119" s="1933" t="s">
        <v>1745</v>
      </c>
      <c r="E119" s="1933" t="s">
        <v>3</v>
      </c>
      <c r="F119" s="1933" t="s">
        <v>1754</v>
      </c>
      <c r="G119" s="1934">
        <f>Summary!E69</f>
        <v>0.98859813830762433</v>
      </c>
      <c r="J119" s="1933"/>
      <c r="K119" s="1933"/>
      <c r="L119" s="1933"/>
      <c r="M119" s="1933"/>
      <c r="N119" s="1933"/>
      <c r="O119" s="1933"/>
      <c r="P119" s="1933"/>
      <c r="Q119" s="1933"/>
      <c r="R119" s="1933"/>
      <c r="S119" s="1933"/>
      <c r="T119" s="1933"/>
      <c r="U119" s="1933"/>
      <c r="V119" s="1933"/>
      <c r="W119" s="1933"/>
      <c r="X119" s="1933"/>
      <c r="Y119" s="1933"/>
      <c r="Z119" s="1933"/>
    </row>
    <row r="120" spans="1:26" ht="12" x14ac:dyDescent="0.2">
      <c r="A120" s="1933" t="str">
        <f>MID(Summary!$B$1,FIND(" ",Summary!$B$1,1)+1,4)</f>
        <v>2006</v>
      </c>
      <c r="B120" s="1933" t="s">
        <v>165</v>
      </c>
      <c r="C120" s="1933" t="s">
        <v>1759</v>
      </c>
      <c r="D120" s="1933" t="s">
        <v>1745</v>
      </c>
      <c r="E120" s="1933" t="s">
        <v>4</v>
      </c>
      <c r="F120" s="1933" t="s">
        <v>1754</v>
      </c>
      <c r="G120" s="1934">
        <f>Summary!E70</f>
        <v>1.9573713360943631E-3</v>
      </c>
      <c r="J120" s="1933"/>
      <c r="K120" s="1933"/>
      <c r="L120" s="1933"/>
      <c r="M120" s="1933"/>
      <c r="N120" s="1933"/>
      <c r="O120" s="1933"/>
      <c r="P120" s="1933"/>
      <c r="Q120" s="1933"/>
      <c r="R120" s="1933"/>
      <c r="S120" s="1933"/>
      <c r="T120" s="1933"/>
      <c r="U120" s="1933"/>
      <c r="V120" s="1933"/>
      <c r="W120" s="1933"/>
      <c r="X120" s="1933"/>
      <c r="Y120" s="1933"/>
      <c r="Z120" s="1933"/>
    </row>
    <row r="121" spans="1:26" ht="12" x14ac:dyDescent="0.2">
      <c r="A121" s="1933" t="str">
        <f>MID(Summary!$B$1,FIND(" ",Summary!$B$1,1)+1,4)</f>
        <v>2006</v>
      </c>
      <c r="B121" s="1933" t="s">
        <v>165</v>
      </c>
      <c r="C121" s="1933" t="s">
        <v>1759</v>
      </c>
      <c r="D121" s="1933" t="s">
        <v>1745</v>
      </c>
      <c r="E121" s="1933" t="s">
        <v>5</v>
      </c>
      <c r="F121" s="1933" t="s">
        <v>1754</v>
      </c>
      <c r="G121" s="1934">
        <f>Summary!E71</f>
        <v>6.6618341873618337E-3</v>
      </c>
      <c r="J121" s="1933"/>
      <c r="K121" s="1933"/>
      <c r="L121" s="1933"/>
      <c r="M121" s="1933"/>
      <c r="N121" s="1933"/>
      <c r="O121" s="1933"/>
      <c r="P121" s="1933"/>
      <c r="Q121" s="1933"/>
      <c r="R121" s="1933"/>
      <c r="S121" s="1933"/>
      <c r="T121" s="1933"/>
      <c r="U121" s="1933"/>
      <c r="V121" s="1933"/>
      <c r="W121" s="1933"/>
      <c r="X121" s="1933"/>
      <c r="Y121" s="1933"/>
      <c r="Z121" s="1933"/>
    </row>
    <row r="122" spans="1:26" ht="12" x14ac:dyDescent="0.2">
      <c r="A122" s="1933" t="str">
        <f>MID(Summary!$B$1,FIND(" ",Summary!$B$1,1)+1,4)</f>
        <v>2006</v>
      </c>
      <c r="B122" s="1933" t="s">
        <v>165</v>
      </c>
      <c r="C122" s="1933" t="s">
        <v>1759</v>
      </c>
      <c r="D122" s="1933" t="s">
        <v>287</v>
      </c>
      <c r="E122" s="1933" t="s">
        <v>3</v>
      </c>
      <c r="F122" s="1933" t="s">
        <v>1754</v>
      </c>
      <c r="G122" s="1934">
        <f>Summary!E73</f>
        <v>0.29595514575746695</v>
      </c>
      <c r="J122" s="1933"/>
      <c r="K122" s="1933"/>
      <c r="L122" s="1933"/>
      <c r="M122" s="1933"/>
      <c r="N122" s="1933"/>
      <c r="O122" s="1933"/>
      <c r="P122" s="1933"/>
      <c r="Q122" s="1933"/>
      <c r="R122" s="1933"/>
      <c r="S122" s="1933"/>
      <c r="T122" s="1933"/>
      <c r="U122" s="1933"/>
      <c r="V122" s="1933"/>
      <c r="W122" s="1933"/>
      <c r="X122" s="1933"/>
      <c r="Y122" s="1933"/>
      <c r="Z122" s="1933"/>
    </row>
    <row r="123" spans="1:26" ht="12" x14ac:dyDescent="0.2">
      <c r="A123" s="1933" t="str">
        <f>MID(Summary!$B$1,FIND(" ",Summary!$B$1,1)+1,4)</f>
        <v>2006</v>
      </c>
      <c r="B123" s="1933" t="s">
        <v>165</v>
      </c>
      <c r="C123" s="1933" t="s">
        <v>1759</v>
      </c>
      <c r="D123" s="1933" t="s">
        <v>287</v>
      </c>
      <c r="E123" s="1933" t="s">
        <v>4</v>
      </c>
      <c r="F123" s="1933" t="s">
        <v>1754</v>
      </c>
      <c r="G123" s="1934">
        <f>Summary!E74</f>
        <v>0</v>
      </c>
      <c r="J123" s="1933"/>
      <c r="K123" s="1933"/>
      <c r="L123" s="1933"/>
      <c r="M123" s="1933"/>
      <c r="N123" s="1933"/>
      <c r="O123" s="1933"/>
      <c r="P123" s="1933"/>
      <c r="Q123" s="1933"/>
      <c r="R123" s="1933"/>
      <c r="S123" s="1933"/>
      <c r="T123" s="1933"/>
      <c r="U123" s="1933"/>
      <c r="V123" s="1933"/>
      <c r="W123" s="1933"/>
      <c r="X123" s="1933"/>
      <c r="Y123" s="1933"/>
      <c r="Z123" s="1933"/>
    </row>
    <row r="124" spans="1:26" ht="12" x14ac:dyDescent="0.2">
      <c r="A124" s="1933" t="str">
        <f>MID(Summary!$B$1,FIND(" ",Summary!$B$1,1)+1,4)</f>
        <v>2006</v>
      </c>
      <c r="B124" s="1933" t="s">
        <v>165</v>
      </c>
      <c r="C124" s="1933" t="s">
        <v>1759</v>
      </c>
      <c r="D124" s="1933" t="s">
        <v>287</v>
      </c>
      <c r="E124" s="1933" t="s">
        <v>5</v>
      </c>
      <c r="F124" s="1933" t="s">
        <v>1754</v>
      </c>
      <c r="G124" s="1934">
        <f>Summary!E75</f>
        <v>0</v>
      </c>
      <c r="J124" s="1933"/>
      <c r="K124" s="1933"/>
      <c r="L124" s="1933"/>
      <c r="M124" s="1933"/>
      <c r="N124" s="1933"/>
      <c r="O124" s="1933"/>
      <c r="P124" s="1933"/>
      <c r="Q124" s="1933"/>
      <c r="R124" s="1933"/>
      <c r="S124" s="1933"/>
      <c r="T124" s="1933"/>
      <c r="U124" s="1933"/>
      <c r="V124" s="1933"/>
      <c r="W124" s="1933"/>
      <c r="X124" s="1933"/>
      <c r="Y124" s="1933"/>
      <c r="Z124" s="1933"/>
    </row>
    <row r="125" spans="1:26" ht="12" x14ac:dyDescent="0.2">
      <c r="A125" s="1933" t="str">
        <f>MID(Summary!$B$1,FIND(" ",Summary!$B$1,1)+1,4)</f>
        <v>2006</v>
      </c>
      <c r="B125" s="1933" t="s">
        <v>165</v>
      </c>
      <c r="C125" s="1933" t="s">
        <v>1759</v>
      </c>
      <c r="D125" s="1933" t="s">
        <v>297</v>
      </c>
      <c r="E125" s="1933" t="s">
        <v>3</v>
      </c>
      <c r="F125" s="1933" t="s">
        <v>1754</v>
      </c>
      <c r="G125" s="1934">
        <f>Summary!E77</f>
        <v>1.7033436072509349</v>
      </c>
      <c r="J125" s="1933"/>
      <c r="K125" s="1933"/>
      <c r="L125" s="1933"/>
      <c r="M125" s="1933"/>
      <c r="N125" s="1933"/>
      <c r="O125" s="1933"/>
      <c r="P125" s="1933"/>
      <c r="Q125" s="1933"/>
      <c r="R125" s="1933"/>
      <c r="S125" s="1933"/>
      <c r="T125" s="1933"/>
      <c r="U125" s="1933"/>
      <c r="V125" s="1933"/>
      <c r="W125" s="1933"/>
      <c r="X125" s="1933"/>
      <c r="Y125" s="1933"/>
      <c r="Z125" s="1933"/>
    </row>
    <row r="126" spans="1:26" ht="12" x14ac:dyDescent="0.2">
      <c r="A126" s="1933" t="str">
        <f>MID(Summary!$B$1,FIND(" ",Summary!$B$1,1)+1,4)</f>
        <v>2006</v>
      </c>
      <c r="B126" s="1933" t="s">
        <v>165</v>
      </c>
      <c r="C126" s="1933" t="s">
        <v>1759</v>
      </c>
      <c r="D126" s="1933" t="s">
        <v>297</v>
      </c>
      <c r="E126" s="1933" t="s">
        <v>4</v>
      </c>
      <c r="F126" s="1933" t="s">
        <v>1754</v>
      </c>
      <c r="G126" s="1934">
        <f>Summary!E78</f>
        <v>2.1602896245983281E-3</v>
      </c>
      <c r="J126" s="1933"/>
      <c r="K126" s="1933"/>
      <c r="L126" s="1933"/>
      <c r="M126" s="1933"/>
      <c r="N126" s="1933"/>
      <c r="O126" s="1933"/>
      <c r="P126" s="1933"/>
      <c r="Q126" s="1933"/>
      <c r="R126" s="1933"/>
      <c r="S126" s="1933"/>
      <c r="T126" s="1933"/>
      <c r="U126" s="1933"/>
      <c r="V126" s="1933"/>
      <c r="W126" s="1933"/>
      <c r="X126" s="1933"/>
      <c r="Y126" s="1933"/>
      <c r="Z126" s="1933"/>
    </row>
    <row r="127" spans="1:26" ht="12" x14ac:dyDescent="0.2">
      <c r="A127" s="1933" t="str">
        <f>MID(Summary!$B$1,FIND(" ",Summary!$B$1,1)+1,4)</f>
        <v>2006</v>
      </c>
      <c r="B127" s="1933" t="s">
        <v>165</v>
      </c>
      <c r="C127" s="1933" t="s">
        <v>1759</v>
      </c>
      <c r="D127" s="1933" t="s">
        <v>297</v>
      </c>
      <c r="E127" s="1933" t="s">
        <v>5</v>
      </c>
      <c r="F127" s="1933" t="s">
        <v>1754</v>
      </c>
      <c r="G127" s="1934">
        <f>Summary!E79</f>
        <v>1.4398234211364545E-2</v>
      </c>
      <c r="J127" s="1933"/>
      <c r="K127" s="1933"/>
      <c r="L127" s="1933"/>
      <c r="M127" s="1933"/>
      <c r="N127" s="1933"/>
      <c r="O127" s="1933"/>
      <c r="P127" s="1933"/>
      <c r="Q127" s="1933"/>
      <c r="R127" s="1933"/>
      <c r="S127" s="1933"/>
      <c r="T127" s="1933"/>
      <c r="U127" s="1933"/>
      <c r="V127" s="1933"/>
      <c r="W127" s="1933"/>
      <c r="X127" s="1933"/>
      <c r="Y127" s="1933"/>
      <c r="Z127" s="1933"/>
    </row>
    <row r="128" spans="1:26" ht="12" x14ac:dyDescent="0.2">
      <c r="A128" s="1933" t="str">
        <f>MID(Summary!$B$1,FIND(" ",Summary!$B$1,1)+1,4)</f>
        <v>2006</v>
      </c>
      <c r="B128" s="1933" t="s">
        <v>165</v>
      </c>
      <c r="C128" s="1933" t="s">
        <v>1758</v>
      </c>
      <c r="D128" s="1933" t="s">
        <v>205</v>
      </c>
      <c r="E128" s="1933" t="s">
        <v>3</v>
      </c>
      <c r="F128" s="1933" t="s">
        <v>1756</v>
      </c>
      <c r="G128" s="1934">
        <f>Summary!D49</f>
        <v>23.195</v>
      </c>
      <c r="H128" s="1933"/>
      <c r="I128" s="1933"/>
      <c r="J128" s="1933"/>
      <c r="K128" s="1933"/>
      <c r="L128" s="1933"/>
      <c r="M128" s="1933"/>
      <c r="N128" s="1933"/>
      <c r="O128" s="1933"/>
      <c r="P128" s="1933"/>
      <c r="Q128" s="1933"/>
      <c r="R128" s="1933"/>
      <c r="S128" s="1933"/>
      <c r="T128" s="1933"/>
      <c r="U128" s="1933"/>
      <c r="V128" s="1933"/>
      <c r="W128" s="1933"/>
      <c r="X128" s="1933"/>
      <c r="Y128" s="1933"/>
      <c r="Z128" s="1933"/>
    </row>
    <row r="129" spans="1:26" ht="12" x14ac:dyDescent="0.2">
      <c r="A129" s="1933" t="str">
        <f>MID(Summary!$B$1,FIND(" ",Summary!$B$1,1)+1,4)</f>
        <v>2006</v>
      </c>
      <c r="B129" s="1933" t="s">
        <v>165</v>
      </c>
      <c r="C129" s="1933" t="s">
        <v>1758</v>
      </c>
      <c r="D129" s="1933" t="s">
        <v>205</v>
      </c>
      <c r="E129" s="1933" t="s">
        <v>4</v>
      </c>
      <c r="F129" s="1933" t="s">
        <v>1756</v>
      </c>
      <c r="G129" s="1934">
        <f>Summary!D50</f>
        <v>0.17864000000000002</v>
      </c>
      <c r="H129" s="1933"/>
      <c r="I129" s="1933"/>
      <c r="J129" s="1933"/>
      <c r="K129" s="1933"/>
      <c r="L129" s="1933"/>
      <c r="M129" s="1933"/>
      <c r="N129" s="1933"/>
      <c r="O129" s="1933"/>
      <c r="P129" s="1933"/>
      <c r="Q129" s="1933"/>
      <c r="R129" s="1933"/>
      <c r="S129" s="1933"/>
      <c r="T129" s="1933"/>
      <c r="U129" s="1933"/>
      <c r="V129" s="1933"/>
      <c r="W129" s="1933"/>
      <c r="X129" s="1933"/>
      <c r="Y129" s="1933"/>
      <c r="Z129" s="1933"/>
    </row>
    <row r="130" spans="1:26" ht="12" x14ac:dyDescent="0.2">
      <c r="A130" s="1933" t="str">
        <f>MID(Summary!$B$1,FIND(" ",Summary!$B$1,1)+1,4)</f>
        <v>2006</v>
      </c>
      <c r="B130" s="1933" t="s">
        <v>165</v>
      </c>
      <c r="C130" s="1933" t="s">
        <v>1758</v>
      </c>
      <c r="D130" s="1933" t="s">
        <v>205</v>
      </c>
      <c r="E130" s="1933" t="s">
        <v>5</v>
      </c>
      <c r="F130" s="1933" t="s">
        <v>1756</v>
      </c>
      <c r="G130" s="1934">
        <f>Summary!D51</f>
        <v>0.45643838709677415</v>
      </c>
      <c r="H130" s="1933"/>
      <c r="I130" s="1933"/>
      <c r="J130" s="1933"/>
      <c r="K130" s="1933"/>
      <c r="L130" s="1933"/>
      <c r="M130" s="1933"/>
      <c r="N130" s="1933"/>
      <c r="O130" s="1933"/>
      <c r="P130" s="1933"/>
      <c r="Q130" s="1933"/>
      <c r="R130" s="1933"/>
      <c r="S130" s="1933"/>
      <c r="T130" s="1933"/>
      <c r="U130" s="1933"/>
      <c r="V130" s="1933"/>
      <c r="W130" s="1933"/>
      <c r="X130" s="1933"/>
      <c r="Y130" s="1933"/>
      <c r="Z130" s="1933"/>
    </row>
    <row r="131" spans="1:26" ht="12" x14ac:dyDescent="0.2">
      <c r="A131" s="1933" t="str">
        <f>MID(Summary!$B$1,FIND(" ",Summary!$B$1,1)+1,4)</f>
        <v>2006</v>
      </c>
      <c r="B131" s="1933" t="s">
        <v>165</v>
      </c>
      <c r="C131" s="1933" t="s">
        <v>1758</v>
      </c>
      <c r="D131" s="1933" t="s">
        <v>234</v>
      </c>
      <c r="E131" s="1933" t="s">
        <v>3</v>
      </c>
      <c r="F131" s="1933" t="s">
        <v>1756</v>
      </c>
      <c r="G131" s="1934">
        <f>Summary!D57</f>
        <v>5.907</v>
      </c>
      <c r="H131" s="1933"/>
      <c r="I131" s="1933"/>
      <c r="J131" s="1933"/>
      <c r="K131" s="1933"/>
      <c r="L131" s="1933"/>
      <c r="M131" s="1933"/>
      <c r="N131" s="1933"/>
      <c r="O131" s="1933"/>
      <c r="P131" s="1933"/>
      <c r="Q131" s="1933"/>
      <c r="R131" s="1933"/>
      <c r="S131" s="1933"/>
      <c r="T131" s="1933"/>
      <c r="U131" s="1933"/>
      <c r="V131" s="1933"/>
      <c r="W131" s="1933"/>
      <c r="X131" s="1933"/>
      <c r="Y131" s="1933"/>
      <c r="Z131" s="1933"/>
    </row>
    <row r="132" spans="1:26" ht="12" x14ac:dyDescent="0.2">
      <c r="A132" s="1933" t="str">
        <f>MID(Summary!$B$1,FIND(" ",Summary!$B$1,1)+1,4)</f>
        <v>2006</v>
      </c>
      <c r="B132" s="1933" t="s">
        <v>165</v>
      </c>
      <c r="C132" s="1933" t="s">
        <v>1758</v>
      </c>
      <c r="D132" s="1933" t="s">
        <v>234</v>
      </c>
      <c r="E132" s="1933" t="s">
        <v>4</v>
      </c>
      <c r="F132" s="1933" t="s">
        <v>1756</v>
      </c>
      <c r="G132" s="1934">
        <f>Summary!D58</f>
        <v>1.16E-3</v>
      </c>
      <c r="H132" s="1933"/>
      <c r="I132" s="1933"/>
      <c r="J132" s="1933"/>
      <c r="K132" s="1933"/>
      <c r="L132" s="1933"/>
      <c r="M132" s="1933"/>
      <c r="N132" s="1933"/>
      <c r="O132" s="1933"/>
      <c r="P132" s="1933"/>
      <c r="Q132" s="1933"/>
      <c r="R132" s="1933"/>
      <c r="S132" s="1933"/>
      <c r="T132" s="1933"/>
      <c r="U132" s="1933"/>
      <c r="V132" s="1933"/>
      <c r="W132" s="1933"/>
      <c r="X132" s="1933"/>
      <c r="Y132" s="1933"/>
      <c r="Z132" s="1933"/>
    </row>
    <row r="133" spans="1:26" ht="12" x14ac:dyDescent="0.2">
      <c r="A133" s="1933" t="str">
        <f>MID(Summary!$B$1,FIND(" ",Summary!$B$1,1)+1,4)</f>
        <v>2006</v>
      </c>
      <c r="B133" s="1933" t="s">
        <v>165</v>
      </c>
      <c r="C133" s="1933" t="s">
        <v>1758</v>
      </c>
      <c r="D133" s="1933" t="s">
        <v>234</v>
      </c>
      <c r="E133" s="1933" t="s">
        <v>5</v>
      </c>
      <c r="F133" s="1933" t="s">
        <v>1756</v>
      </c>
      <c r="G133" s="1934">
        <f>Summary!D59</f>
        <v>2.6419354838709678E-3</v>
      </c>
      <c r="H133" s="1933"/>
      <c r="I133" s="1933"/>
      <c r="J133" s="1933"/>
      <c r="K133" s="1933"/>
      <c r="L133" s="1933"/>
      <c r="M133" s="1933"/>
      <c r="N133" s="1933"/>
      <c r="O133" s="1933"/>
      <c r="P133" s="1933"/>
      <c r="Q133" s="1933"/>
      <c r="R133" s="1933"/>
      <c r="S133" s="1933"/>
      <c r="T133" s="1933"/>
      <c r="U133" s="1933"/>
      <c r="V133" s="1933"/>
      <c r="W133" s="1933"/>
      <c r="X133" s="1933"/>
      <c r="Y133" s="1933"/>
      <c r="Z133" s="1933"/>
    </row>
    <row r="134" spans="1:26" ht="12" x14ac:dyDescent="0.2">
      <c r="A134" s="1933" t="str">
        <f>MID(Summary!$B$1,FIND(" ",Summary!$B$1,1)+1,4)</f>
        <v>2006</v>
      </c>
      <c r="B134" s="1933" t="s">
        <v>165</v>
      </c>
      <c r="C134" s="1933" t="s">
        <v>1759</v>
      </c>
      <c r="D134" s="1933" t="s">
        <v>219</v>
      </c>
      <c r="E134" s="1933" t="s">
        <v>3</v>
      </c>
      <c r="F134" s="1933" t="s">
        <v>1756</v>
      </c>
      <c r="G134" s="1934">
        <f>Summary!D53</f>
        <v>1.0395505155055149</v>
      </c>
      <c r="H134" s="1933"/>
      <c r="I134" s="1933"/>
      <c r="J134" s="1933"/>
      <c r="K134" s="1933"/>
      <c r="L134" s="1933"/>
      <c r="M134" s="1933"/>
      <c r="N134" s="1933"/>
      <c r="O134" s="1933"/>
      <c r="P134" s="1933"/>
      <c r="Q134" s="1933"/>
      <c r="R134" s="1933"/>
      <c r="S134" s="1933"/>
      <c r="T134" s="1933"/>
      <c r="U134" s="1933"/>
      <c r="V134" s="1933"/>
      <c r="W134" s="1933"/>
      <c r="X134" s="1933"/>
      <c r="Y134" s="1933"/>
      <c r="Z134" s="1933"/>
    </row>
    <row r="135" spans="1:26" ht="12" x14ac:dyDescent="0.2">
      <c r="A135" s="1933" t="str">
        <f>MID(Summary!$B$1,FIND(" ",Summary!$B$1,1)+1,4)</f>
        <v>2006</v>
      </c>
      <c r="B135" s="1933" t="s">
        <v>165</v>
      </c>
      <c r="C135" s="1933" t="s">
        <v>1759</v>
      </c>
      <c r="D135" s="1933" t="s">
        <v>219</v>
      </c>
      <c r="E135" s="1933" t="s">
        <v>4</v>
      </c>
      <c r="F135" s="1933" t="s">
        <v>1756</v>
      </c>
      <c r="G135" s="1934">
        <f>Summary!D54</f>
        <v>3.5590916547421944E-3</v>
      </c>
      <c r="H135" s="1933"/>
      <c r="I135" s="1933"/>
      <c r="J135" s="1933"/>
      <c r="K135" s="1933"/>
      <c r="L135" s="1933"/>
      <c r="M135" s="1933"/>
      <c r="N135" s="1933"/>
      <c r="O135" s="1933"/>
      <c r="P135" s="1933"/>
      <c r="Q135" s="1933"/>
      <c r="R135" s="1933"/>
      <c r="S135" s="1933"/>
      <c r="T135" s="1933"/>
      <c r="U135" s="1933"/>
      <c r="V135" s="1933"/>
      <c r="W135" s="1933"/>
      <c r="X135" s="1933"/>
      <c r="Y135" s="1933"/>
      <c r="Z135" s="1933"/>
    </row>
    <row r="136" spans="1:26" ht="12" x14ac:dyDescent="0.2">
      <c r="A136" s="1933" t="str">
        <f>MID(Summary!$B$1,FIND(" ",Summary!$B$1,1)+1,4)</f>
        <v>2006</v>
      </c>
      <c r="B136" s="1933" t="s">
        <v>165</v>
      </c>
      <c r="C136" s="1933" t="s">
        <v>1759</v>
      </c>
      <c r="D136" s="1933" t="s">
        <v>219</v>
      </c>
      <c r="E136" s="1933" t="s">
        <v>5</v>
      </c>
      <c r="F136" s="1933" t="s">
        <v>1756</v>
      </c>
      <c r="G136" s="1934">
        <f>Summary!D55</f>
        <v>3.2113393422493952E-3</v>
      </c>
      <c r="H136" s="1933"/>
      <c r="I136" s="1933"/>
      <c r="J136" s="1933"/>
      <c r="K136" s="1933"/>
      <c r="L136" s="1933"/>
      <c r="M136" s="1933"/>
      <c r="N136" s="1933"/>
      <c r="O136" s="1933"/>
      <c r="P136" s="1933"/>
      <c r="Q136" s="1933"/>
      <c r="R136" s="1933"/>
      <c r="S136" s="1933"/>
      <c r="T136" s="1933"/>
      <c r="U136" s="1933"/>
      <c r="V136" s="1933"/>
      <c r="W136" s="1933"/>
      <c r="X136" s="1933"/>
      <c r="Y136" s="1933"/>
      <c r="Z136" s="1933"/>
    </row>
    <row r="137" spans="1:26" ht="12" x14ac:dyDescent="0.2">
      <c r="A137" s="1933" t="str">
        <f>MID(Summary!$B$1,FIND(" ",Summary!$B$1,1)+1,4)</f>
        <v>2006</v>
      </c>
      <c r="B137" s="1933" t="s">
        <v>165</v>
      </c>
      <c r="C137" s="1933" t="s">
        <v>1759</v>
      </c>
      <c r="D137" s="1933" t="s">
        <v>251</v>
      </c>
      <c r="E137" s="1933" t="s">
        <v>3</v>
      </c>
      <c r="F137" s="1933" t="s">
        <v>1756</v>
      </c>
      <c r="G137" s="1934">
        <f>Summary!D61</f>
        <v>1.4880829330956415</v>
      </c>
      <c r="H137" s="1933"/>
      <c r="I137" s="1933"/>
      <c r="J137" s="1933"/>
      <c r="K137" s="1933"/>
      <c r="L137" s="1933"/>
      <c r="M137" s="1933"/>
      <c r="N137" s="1933"/>
      <c r="O137" s="1933"/>
      <c r="P137" s="1933"/>
      <c r="Q137" s="1933"/>
      <c r="R137" s="1933"/>
      <c r="S137" s="1933"/>
      <c r="T137" s="1933"/>
      <c r="U137" s="1933"/>
      <c r="V137" s="1933"/>
      <c r="W137" s="1933"/>
      <c r="X137" s="1933"/>
      <c r="Y137" s="1933"/>
      <c r="Z137" s="1933"/>
    </row>
    <row r="138" spans="1:26" ht="12" x14ac:dyDescent="0.2">
      <c r="A138" s="1933" t="str">
        <f>MID(Summary!$B$1,FIND(" ",Summary!$B$1,1)+1,4)</f>
        <v>2006</v>
      </c>
      <c r="B138" s="1933" t="s">
        <v>165</v>
      </c>
      <c r="C138" s="1933" t="s">
        <v>1759</v>
      </c>
      <c r="D138" s="1933" t="s">
        <v>251</v>
      </c>
      <c r="E138" s="1933" t="s">
        <v>4</v>
      </c>
      <c r="F138" s="1933" t="s">
        <v>1756</v>
      </c>
      <c r="G138" s="1934">
        <f>Summary!D62</f>
        <v>1.6322781952015138E-2</v>
      </c>
      <c r="H138" s="1933"/>
      <c r="I138" s="1933"/>
      <c r="J138" s="1933"/>
      <c r="K138" s="1933"/>
      <c r="L138" s="1933"/>
      <c r="M138" s="1933"/>
      <c r="N138" s="1933"/>
      <c r="O138" s="1933"/>
      <c r="P138" s="1933"/>
      <c r="Q138" s="1933"/>
      <c r="R138" s="1933"/>
      <c r="S138" s="1933"/>
      <c r="T138" s="1933"/>
      <c r="U138" s="1933"/>
      <c r="V138" s="1933"/>
      <c r="W138" s="1933"/>
      <c r="X138" s="1933"/>
      <c r="Y138" s="1933"/>
      <c r="Z138" s="1933"/>
    </row>
    <row r="139" spans="1:26" ht="12" x14ac:dyDescent="0.2">
      <c r="A139" s="1933" t="str">
        <f>MID(Summary!$B$1,FIND(" ",Summary!$B$1,1)+1,4)</f>
        <v>2006</v>
      </c>
      <c r="B139" s="1933" t="s">
        <v>165</v>
      </c>
      <c r="C139" s="1933" t="s">
        <v>1759</v>
      </c>
      <c r="D139" s="1933" t="s">
        <v>251</v>
      </c>
      <c r="E139" s="1933" t="s">
        <v>5</v>
      </c>
      <c r="F139" s="1933" t="s">
        <v>1756</v>
      </c>
      <c r="G139" s="1934">
        <f>Summary!D63</f>
        <v>1.0234710326886356E-2</v>
      </c>
      <c r="H139" s="1933"/>
      <c r="I139" s="1933"/>
      <c r="J139" s="1933"/>
      <c r="K139" s="1933"/>
      <c r="L139" s="1933"/>
      <c r="M139" s="1933"/>
      <c r="N139" s="1933"/>
      <c r="O139" s="1933"/>
      <c r="P139" s="1933"/>
      <c r="Q139" s="1933"/>
      <c r="R139" s="1933"/>
      <c r="S139" s="1933"/>
      <c r="T139" s="1933"/>
      <c r="U139" s="1933"/>
      <c r="V139" s="1933"/>
      <c r="W139" s="1933"/>
      <c r="X139" s="1933"/>
      <c r="Y139" s="1933"/>
      <c r="Z139" s="1933"/>
    </row>
    <row r="140" spans="1:26" ht="12" x14ac:dyDescent="0.2">
      <c r="A140" s="1933" t="str">
        <f>MID(Summary!$B$1,FIND(" ",Summary!$B$1,1)+1,4)</f>
        <v>2006</v>
      </c>
      <c r="B140" s="1933" t="s">
        <v>165</v>
      </c>
      <c r="C140" s="1933" t="s">
        <v>1759</v>
      </c>
      <c r="D140" s="1933" t="s">
        <v>260</v>
      </c>
      <c r="E140" s="1933" t="s">
        <v>3</v>
      </c>
      <c r="F140" s="1933" t="s">
        <v>1756</v>
      </c>
      <c r="G140" s="1934">
        <f>Summary!D65</f>
        <v>0.23660057910605095</v>
      </c>
      <c r="H140" s="1933"/>
      <c r="I140" s="1933"/>
      <c r="J140" s="1933"/>
      <c r="K140" s="1933"/>
      <c r="L140" s="1933"/>
      <c r="M140" s="1933"/>
      <c r="N140" s="1933"/>
      <c r="O140" s="1933"/>
      <c r="P140" s="1933"/>
      <c r="Q140" s="1933"/>
      <c r="R140" s="1933"/>
      <c r="S140" s="1933"/>
      <c r="T140" s="1933"/>
      <c r="U140" s="1933"/>
      <c r="V140" s="1933"/>
      <c r="W140" s="1933"/>
      <c r="X140" s="1933"/>
      <c r="Y140" s="1933"/>
      <c r="Z140" s="1933"/>
    </row>
    <row r="141" spans="1:26" ht="12" x14ac:dyDescent="0.2">
      <c r="A141" s="1933" t="str">
        <f>MID(Summary!$B$1,FIND(" ",Summary!$B$1,1)+1,4)</f>
        <v>2006</v>
      </c>
      <c r="B141" s="1933" t="s">
        <v>165</v>
      </c>
      <c r="C141" s="1933" t="s">
        <v>1759</v>
      </c>
      <c r="D141" s="1933" t="s">
        <v>260</v>
      </c>
      <c r="E141" s="1933" t="s">
        <v>4</v>
      </c>
      <c r="F141" s="1933" t="s">
        <v>1756</v>
      </c>
      <c r="G141" s="1934">
        <f>Summary!D66</f>
        <v>1.5125426401873202E-3</v>
      </c>
      <c r="H141" s="1933"/>
      <c r="I141" s="1933"/>
      <c r="J141" s="1933"/>
      <c r="K141" s="1933"/>
      <c r="L141" s="1933"/>
      <c r="M141" s="1933"/>
      <c r="N141" s="1933"/>
      <c r="O141" s="1933"/>
      <c r="P141" s="1933"/>
      <c r="Q141" s="1933"/>
      <c r="R141" s="1933"/>
      <c r="S141" s="1933"/>
      <c r="T141" s="1933"/>
      <c r="U141" s="1933"/>
      <c r="V141" s="1933"/>
      <c r="W141" s="1933"/>
      <c r="X141" s="1933"/>
      <c r="Y141" s="1933"/>
      <c r="Z141" s="1933"/>
    </row>
    <row r="142" spans="1:26" ht="12" x14ac:dyDescent="0.2">
      <c r="A142" s="1933" t="str">
        <f>MID(Summary!$B$1,FIND(" ",Summary!$B$1,1)+1,4)</f>
        <v>2006</v>
      </c>
      <c r="B142" s="1933" t="s">
        <v>165</v>
      </c>
      <c r="C142" s="1933" t="s">
        <v>1759</v>
      </c>
      <c r="D142" s="1933" t="s">
        <v>260</v>
      </c>
      <c r="E142" s="1933" t="s">
        <v>5</v>
      </c>
      <c r="F142" s="1933" t="s">
        <v>1756</v>
      </c>
      <c r="G142" s="1934">
        <f>Summary!D67</f>
        <v>1.627287254270496E-3</v>
      </c>
      <c r="H142" s="1933"/>
      <c r="I142" s="1933"/>
      <c r="J142" s="1933"/>
      <c r="K142" s="1933"/>
      <c r="L142" s="1933"/>
      <c r="M142" s="1933"/>
      <c r="N142" s="1933"/>
      <c r="O142" s="1933"/>
      <c r="P142" s="1933"/>
      <c r="Q142" s="1933"/>
      <c r="R142" s="1933"/>
      <c r="S142" s="1933"/>
      <c r="T142" s="1933"/>
      <c r="U142" s="1933"/>
      <c r="V142" s="1933"/>
      <c r="W142" s="1933"/>
      <c r="X142" s="1933"/>
      <c r="Y142" s="1933"/>
      <c r="Z142" s="1933"/>
    </row>
    <row r="143" spans="1:26" ht="12" x14ac:dyDescent="0.2">
      <c r="A143" s="1933" t="str">
        <f>MID(Summary!$B$1,FIND(" ",Summary!$B$1,1)+1,4)</f>
        <v>2006</v>
      </c>
      <c r="B143" s="1933" t="s">
        <v>165</v>
      </c>
      <c r="C143" s="1933" t="s">
        <v>1759</v>
      </c>
      <c r="D143" s="1933" t="s">
        <v>1745</v>
      </c>
      <c r="E143" s="1933" t="s">
        <v>3</v>
      </c>
      <c r="F143" s="1933" t="s">
        <v>1756</v>
      </c>
      <c r="G143" s="1934">
        <f>Summary!D69</f>
        <v>0.98859813830762433</v>
      </c>
      <c r="H143" s="1933"/>
      <c r="I143" s="1933"/>
      <c r="J143" s="1933"/>
      <c r="K143" s="1933"/>
      <c r="L143" s="1933"/>
      <c r="M143" s="1933"/>
      <c r="N143" s="1933"/>
      <c r="O143" s="1933"/>
      <c r="P143" s="1933"/>
      <c r="Q143" s="1933"/>
      <c r="R143" s="1933"/>
      <c r="S143" s="1933"/>
      <c r="T143" s="1933"/>
      <c r="U143" s="1933"/>
      <c r="V143" s="1933"/>
      <c r="W143" s="1933"/>
      <c r="X143" s="1933"/>
      <c r="Y143" s="1933"/>
      <c r="Z143" s="1933"/>
    </row>
    <row r="144" spans="1:26" ht="12" x14ac:dyDescent="0.2">
      <c r="A144" s="1933" t="str">
        <f>MID(Summary!$B$1,FIND(" ",Summary!$B$1,1)+1,4)</f>
        <v>2006</v>
      </c>
      <c r="B144" s="1933" t="s">
        <v>165</v>
      </c>
      <c r="C144" s="1933" t="s">
        <v>1759</v>
      </c>
      <c r="D144" s="1933" t="s">
        <v>1745</v>
      </c>
      <c r="E144" s="1933" t="s">
        <v>4</v>
      </c>
      <c r="F144" s="1933" t="s">
        <v>1756</v>
      </c>
      <c r="G144" s="1934">
        <f>Summary!D70</f>
        <v>5.6967223115004413E-3</v>
      </c>
      <c r="H144" s="1933"/>
      <c r="I144" s="1933"/>
      <c r="J144" s="1933"/>
      <c r="K144" s="1933"/>
      <c r="L144" s="1933"/>
      <c r="M144" s="1933"/>
      <c r="N144" s="1933"/>
      <c r="O144" s="1933"/>
      <c r="P144" s="1933"/>
      <c r="Q144" s="1933"/>
      <c r="R144" s="1933"/>
      <c r="S144" s="1933"/>
      <c r="T144" s="1933"/>
      <c r="U144" s="1933"/>
      <c r="V144" s="1933"/>
      <c r="W144" s="1933"/>
      <c r="X144" s="1933"/>
      <c r="Y144" s="1933"/>
      <c r="Z144" s="1933"/>
    </row>
    <row r="145" spans="1:26" ht="12" x14ac:dyDescent="0.2">
      <c r="A145" s="1933" t="str">
        <f>MID(Summary!$B$1,FIND(" ",Summary!$B$1,1)+1,4)</f>
        <v>2006</v>
      </c>
      <c r="B145" s="1933" t="s">
        <v>165</v>
      </c>
      <c r="C145" s="1933" t="s">
        <v>1759</v>
      </c>
      <c r="D145" s="1933" t="s">
        <v>1745</v>
      </c>
      <c r="E145" s="1933" t="s">
        <v>5</v>
      </c>
      <c r="F145" s="1933" t="s">
        <v>1756</v>
      </c>
      <c r="G145" s="1934">
        <f>Summary!D71</f>
        <v>6.6618341873618337E-3</v>
      </c>
      <c r="H145" s="1933"/>
      <c r="I145" s="1933"/>
      <c r="J145" s="1933"/>
      <c r="K145" s="1933"/>
      <c r="L145" s="1933"/>
      <c r="M145" s="1933"/>
      <c r="N145" s="1933"/>
      <c r="O145" s="1933"/>
      <c r="P145" s="1933"/>
      <c r="Q145" s="1933"/>
      <c r="R145" s="1933"/>
      <c r="S145" s="1933"/>
      <c r="T145" s="1933"/>
      <c r="U145" s="1933"/>
      <c r="V145" s="1933"/>
      <c r="W145" s="1933"/>
      <c r="X145" s="1933"/>
      <c r="Y145" s="1933"/>
      <c r="Z145" s="1933"/>
    </row>
    <row r="146" spans="1:26" ht="12" x14ac:dyDescent="0.2">
      <c r="A146" s="1933" t="str">
        <f>MID(Summary!$B$1,FIND(" ",Summary!$B$1,1)+1,4)</f>
        <v>2006</v>
      </c>
      <c r="B146" s="1933" t="s">
        <v>165</v>
      </c>
      <c r="C146" s="1933" t="s">
        <v>1759</v>
      </c>
      <c r="D146" s="1933" t="s">
        <v>287</v>
      </c>
      <c r="E146" s="1933" t="s">
        <v>3</v>
      </c>
      <c r="F146" s="1933" t="s">
        <v>1756</v>
      </c>
      <c r="G146" s="1934">
        <f>Summary!D73</f>
        <v>0.29595514575746695</v>
      </c>
      <c r="H146" s="1933"/>
      <c r="I146" s="1933"/>
      <c r="J146" s="1933"/>
      <c r="K146" s="1933"/>
      <c r="L146" s="1933"/>
      <c r="M146" s="1933"/>
      <c r="N146" s="1933"/>
      <c r="O146" s="1933"/>
      <c r="P146" s="1933"/>
      <c r="Q146" s="1933"/>
      <c r="R146" s="1933"/>
      <c r="S146" s="1933"/>
      <c r="T146" s="1933"/>
      <c r="U146" s="1933"/>
      <c r="V146" s="1933"/>
      <c r="W146" s="1933"/>
      <c r="X146" s="1933"/>
      <c r="Y146" s="1933"/>
      <c r="Z146" s="1933"/>
    </row>
    <row r="147" spans="1:26" ht="12" x14ac:dyDescent="0.2">
      <c r="A147" s="1933" t="str">
        <f>MID(Summary!$B$1,FIND(" ",Summary!$B$1,1)+1,4)</f>
        <v>2006</v>
      </c>
      <c r="B147" s="1933" t="s">
        <v>165</v>
      </c>
      <c r="C147" s="1933" t="s">
        <v>1759</v>
      </c>
      <c r="D147" s="1933" t="s">
        <v>287</v>
      </c>
      <c r="E147" s="1933" t="s">
        <v>4</v>
      </c>
      <c r="F147" s="1933" t="s">
        <v>1756</v>
      </c>
      <c r="G147" s="1934">
        <f>Summary!D74</f>
        <v>0</v>
      </c>
      <c r="H147" s="1933"/>
      <c r="I147" s="1933"/>
      <c r="J147" s="1933"/>
      <c r="K147" s="1933"/>
      <c r="L147" s="1933"/>
      <c r="M147" s="1933"/>
      <c r="N147" s="1933"/>
      <c r="O147" s="1933"/>
      <c r="P147" s="1933"/>
      <c r="Q147" s="1933"/>
      <c r="R147" s="1933"/>
      <c r="S147" s="1933"/>
      <c r="T147" s="1933"/>
      <c r="U147" s="1933"/>
      <c r="V147" s="1933"/>
      <c r="W147" s="1933"/>
      <c r="X147" s="1933"/>
      <c r="Y147" s="1933"/>
      <c r="Z147" s="1933"/>
    </row>
    <row r="148" spans="1:26" ht="12" x14ac:dyDescent="0.2">
      <c r="A148" s="1933" t="str">
        <f>MID(Summary!$B$1,FIND(" ",Summary!$B$1,1)+1,4)</f>
        <v>2006</v>
      </c>
      <c r="B148" s="1933" t="s">
        <v>165</v>
      </c>
      <c r="C148" s="1933" t="s">
        <v>1759</v>
      </c>
      <c r="D148" s="1933" t="s">
        <v>287</v>
      </c>
      <c r="E148" s="1933" t="s">
        <v>5</v>
      </c>
      <c r="F148" s="1933" t="s">
        <v>1756</v>
      </c>
      <c r="G148" s="1934">
        <f>Summary!D75</f>
        <v>0</v>
      </c>
      <c r="H148" s="1933"/>
      <c r="I148" s="1933"/>
      <c r="J148" s="1933"/>
      <c r="K148" s="1933"/>
      <c r="L148" s="1933"/>
      <c r="M148" s="1933"/>
      <c r="N148" s="1933"/>
      <c r="O148" s="1933"/>
      <c r="P148" s="1933"/>
      <c r="Q148" s="1933"/>
      <c r="R148" s="1933"/>
      <c r="S148" s="1933"/>
      <c r="T148" s="1933"/>
      <c r="U148" s="1933"/>
      <c r="V148" s="1933"/>
      <c r="W148" s="1933"/>
      <c r="X148" s="1933"/>
      <c r="Y148" s="1933"/>
      <c r="Z148" s="1933"/>
    </row>
    <row r="149" spans="1:26" ht="12" x14ac:dyDescent="0.2">
      <c r="A149" s="1933" t="str">
        <f>MID(Summary!$B$1,FIND(" ",Summary!$B$1,1)+1,4)</f>
        <v>2006</v>
      </c>
      <c r="B149" s="1933" t="s">
        <v>165</v>
      </c>
      <c r="C149" s="1933" t="s">
        <v>1759</v>
      </c>
      <c r="D149" s="1933" t="s">
        <v>297</v>
      </c>
      <c r="E149" s="1933" t="s">
        <v>3</v>
      </c>
      <c r="F149" s="1933" t="s">
        <v>1756</v>
      </c>
      <c r="G149" s="1934">
        <f>Summary!D77</f>
        <v>1.7033436072509349</v>
      </c>
      <c r="H149" s="1933"/>
      <c r="I149" s="1933"/>
      <c r="J149" s="1933"/>
      <c r="K149" s="1933"/>
      <c r="L149" s="1933"/>
      <c r="M149" s="1933"/>
      <c r="N149" s="1933"/>
      <c r="O149" s="1933"/>
      <c r="P149" s="1933"/>
      <c r="Q149" s="1933"/>
      <c r="R149" s="1933"/>
      <c r="S149" s="1933"/>
      <c r="T149" s="1933"/>
      <c r="U149" s="1933"/>
      <c r="V149" s="1933"/>
      <c r="W149" s="1933"/>
      <c r="X149" s="1933"/>
      <c r="Y149" s="1933"/>
      <c r="Z149" s="1933"/>
    </row>
    <row r="150" spans="1:26" ht="12" x14ac:dyDescent="0.2">
      <c r="A150" s="1933" t="str">
        <f>MID(Summary!$B$1,FIND(" ",Summary!$B$1,1)+1,4)</f>
        <v>2006</v>
      </c>
      <c r="B150" s="1933" t="s">
        <v>165</v>
      </c>
      <c r="C150" s="1933" t="s">
        <v>1759</v>
      </c>
      <c r="D150" s="1933" t="s">
        <v>297</v>
      </c>
      <c r="E150" s="1933" t="s">
        <v>4</v>
      </c>
      <c r="F150" s="1933" t="s">
        <v>1756</v>
      </c>
      <c r="G150" s="1934">
        <f>Summary!D78</f>
        <v>6.2872945346732706E-3</v>
      </c>
      <c r="H150" s="1933"/>
      <c r="I150" s="1933"/>
      <c r="J150" s="1933"/>
      <c r="K150" s="1933"/>
      <c r="L150" s="1933"/>
      <c r="M150" s="1933"/>
      <c r="N150" s="1933"/>
      <c r="O150" s="1933"/>
      <c r="P150" s="1933"/>
      <c r="Q150" s="1933"/>
      <c r="R150" s="1933"/>
      <c r="S150" s="1933"/>
      <c r="T150" s="1933"/>
      <c r="U150" s="1933"/>
      <c r="V150" s="1933"/>
      <c r="W150" s="1933"/>
      <c r="X150" s="1933"/>
      <c r="Y150" s="1933"/>
      <c r="Z150" s="1933"/>
    </row>
    <row r="151" spans="1:26" ht="12" x14ac:dyDescent="0.2">
      <c r="A151" s="1933" t="str">
        <f>MID(Summary!$B$1,FIND(" ",Summary!$B$1,1)+1,4)</f>
        <v>2006</v>
      </c>
      <c r="B151" s="1933" t="s">
        <v>165</v>
      </c>
      <c r="C151" s="1933" t="s">
        <v>1759</v>
      </c>
      <c r="D151" s="1933" t="s">
        <v>297</v>
      </c>
      <c r="E151" s="1933" t="s">
        <v>5</v>
      </c>
      <c r="F151" s="1933" t="s">
        <v>1756</v>
      </c>
      <c r="G151" s="1934">
        <f>Summary!D79</f>
        <v>1.4398234211364543E-2</v>
      </c>
      <c r="H151" s="1933"/>
      <c r="I151" s="1933"/>
      <c r="J151" s="1933"/>
      <c r="K151" s="1933"/>
      <c r="L151" s="1933"/>
      <c r="M151" s="1933"/>
      <c r="N151" s="1933"/>
      <c r="O151" s="1933"/>
      <c r="P151" s="1933"/>
      <c r="Q151" s="1933"/>
      <c r="R151" s="1933"/>
      <c r="S151" s="1933"/>
      <c r="T151" s="1933"/>
      <c r="U151" s="1933"/>
      <c r="V151" s="1933"/>
      <c r="W151" s="1933"/>
      <c r="X151" s="1933"/>
      <c r="Y151" s="1933"/>
      <c r="Z151" s="1933"/>
    </row>
    <row r="152" spans="1:26" ht="12" x14ac:dyDescent="0.2">
      <c r="A152" s="1933" t="str">
        <f>MID(Summary!$B$1,FIND(" ",Summary!$B$1,1)+1,4)</f>
        <v>2006</v>
      </c>
      <c r="B152" s="1933" t="s">
        <v>305</v>
      </c>
      <c r="C152" s="1933" t="s">
        <v>308</v>
      </c>
      <c r="D152" s="1933"/>
      <c r="E152" s="1933" t="s">
        <v>3</v>
      </c>
      <c r="F152" s="1933" t="s">
        <v>1754</v>
      </c>
      <c r="G152" s="1934">
        <f>Summary!E82</f>
        <v>0.11669565290015972</v>
      </c>
      <c r="J152" s="1933"/>
      <c r="K152" s="1933"/>
      <c r="L152" s="1933"/>
      <c r="M152" s="1933"/>
      <c r="N152" s="1933"/>
      <c r="O152" s="1933"/>
      <c r="P152" s="1933"/>
      <c r="Q152" s="1933"/>
      <c r="R152" s="1933"/>
      <c r="S152" s="1933"/>
      <c r="T152" s="1933"/>
      <c r="U152" s="1933"/>
      <c r="V152" s="1933"/>
      <c r="W152" s="1933"/>
      <c r="X152" s="1933"/>
      <c r="Y152" s="1933"/>
      <c r="Z152" s="1933"/>
    </row>
    <row r="153" spans="1:26" ht="12" x14ac:dyDescent="0.2">
      <c r="A153" s="1933" t="str">
        <f>MID(Summary!$B$1,FIND(" ",Summary!$B$1,1)+1,4)</f>
        <v>2006</v>
      </c>
      <c r="B153" s="1933" t="s">
        <v>305</v>
      </c>
      <c r="C153" s="1933" t="s">
        <v>308</v>
      </c>
      <c r="D153" s="1933"/>
      <c r="E153" s="1933" t="s">
        <v>4</v>
      </c>
      <c r="F153" s="1933" t="s">
        <v>1754</v>
      </c>
      <c r="G153" s="1934">
        <f>Summary!E83</f>
        <v>1.0779182194241963</v>
      </c>
      <c r="J153" s="1933"/>
      <c r="K153" s="1933"/>
      <c r="L153" s="1933"/>
      <c r="M153" s="1933"/>
      <c r="N153" s="1933"/>
      <c r="O153" s="1933"/>
      <c r="P153" s="1933"/>
      <c r="Q153" s="1933"/>
      <c r="R153" s="1933"/>
      <c r="S153" s="1933"/>
      <c r="T153" s="1933"/>
      <c r="U153" s="1933"/>
      <c r="V153" s="1933"/>
      <c r="W153" s="1933"/>
      <c r="X153" s="1933"/>
      <c r="Y153" s="1933"/>
      <c r="Z153" s="1933"/>
    </row>
    <row r="154" spans="1:26" ht="12" x14ac:dyDescent="0.2">
      <c r="A154" s="1933" t="str">
        <f>MID(Summary!$B$1,FIND(" ",Summary!$B$1,1)+1,4)</f>
        <v>2006</v>
      </c>
      <c r="B154" s="1933" t="s">
        <v>305</v>
      </c>
      <c r="C154" s="1933" t="s">
        <v>308</v>
      </c>
      <c r="D154" s="1933"/>
      <c r="E154" s="1933" t="s">
        <v>5</v>
      </c>
      <c r="F154" s="1933" t="s">
        <v>1754</v>
      </c>
      <c r="G154" s="1934">
        <f>Summary!E84</f>
        <v>6.2910419924456623E-5</v>
      </c>
      <c r="J154" s="1933"/>
      <c r="K154" s="1933"/>
      <c r="L154" s="1933"/>
      <c r="M154" s="1933"/>
      <c r="N154" s="1933"/>
      <c r="O154" s="1933"/>
      <c r="P154" s="1933"/>
      <c r="Q154" s="1933"/>
      <c r="R154" s="1933"/>
      <c r="S154" s="1933"/>
      <c r="T154" s="1933"/>
      <c r="U154" s="1933"/>
      <c r="V154" s="1933"/>
      <c r="W154" s="1933"/>
      <c r="X154" s="1933"/>
      <c r="Y154" s="1933"/>
      <c r="Z154" s="1933"/>
    </row>
    <row r="155" spans="1:26" ht="12" x14ac:dyDescent="0.2">
      <c r="A155" s="1933" t="str">
        <f>MID(Summary!$B$1,FIND(" ",Summary!$B$1,1)+1,4)</f>
        <v>2006</v>
      </c>
      <c r="B155" s="1933" t="s">
        <v>305</v>
      </c>
      <c r="C155" s="1933" t="s">
        <v>324</v>
      </c>
      <c r="D155" s="1933"/>
      <c r="E155" s="1933" t="s">
        <v>3</v>
      </c>
      <c r="F155" s="1933" t="s">
        <v>1754</v>
      </c>
      <c r="G155" s="1934">
        <f>Summary!E86</f>
        <v>0</v>
      </c>
      <c r="J155" s="1933"/>
      <c r="K155" s="1933"/>
      <c r="L155" s="1933"/>
      <c r="M155" s="1933"/>
      <c r="N155" s="1933"/>
      <c r="O155" s="1933"/>
      <c r="P155" s="1933"/>
      <c r="Q155" s="1933"/>
      <c r="R155" s="1933"/>
      <c r="S155" s="1933"/>
      <c r="T155" s="1933"/>
      <c r="U155" s="1933"/>
      <c r="V155" s="1933"/>
      <c r="W155" s="1933"/>
      <c r="X155" s="1933"/>
      <c r="Y155" s="1933"/>
      <c r="Z155" s="1933"/>
    </row>
    <row r="156" spans="1:26" ht="12" x14ac:dyDescent="0.2">
      <c r="A156" s="1933" t="str">
        <f>MID(Summary!$B$1,FIND(" ",Summary!$B$1,1)+1,4)</f>
        <v>2006</v>
      </c>
      <c r="B156" s="1933" t="s">
        <v>305</v>
      </c>
      <c r="C156" s="1933" t="s">
        <v>324</v>
      </c>
      <c r="D156" s="1933"/>
      <c r="E156" s="1933" t="s">
        <v>4</v>
      </c>
      <c r="F156" s="1933" t="s">
        <v>1754</v>
      </c>
      <c r="G156" s="1934">
        <f>Summary!E87</f>
        <v>0</v>
      </c>
      <c r="J156" s="1933"/>
      <c r="K156" s="1933"/>
      <c r="L156" s="1933"/>
      <c r="M156" s="1933"/>
      <c r="N156" s="1933"/>
      <c r="O156" s="1933"/>
      <c r="P156" s="1933"/>
      <c r="Q156" s="1933"/>
      <c r="R156" s="1933"/>
      <c r="S156" s="1933"/>
      <c r="T156" s="1933"/>
      <c r="U156" s="1933"/>
      <c r="V156" s="1933"/>
      <c r="W156" s="1933"/>
      <c r="X156" s="1933"/>
      <c r="Y156" s="1933"/>
      <c r="Z156" s="1933"/>
    </row>
    <row r="157" spans="1:26" ht="12" x14ac:dyDescent="0.2">
      <c r="A157" s="1933" t="str">
        <f>MID(Summary!$B$1,FIND(" ",Summary!$B$1,1)+1,4)</f>
        <v>2006</v>
      </c>
      <c r="B157" s="1933" t="s">
        <v>305</v>
      </c>
      <c r="C157" s="1933" t="s">
        <v>324</v>
      </c>
      <c r="D157" s="1933"/>
      <c r="E157" s="1933" t="s">
        <v>5</v>
      </c>
      <c r="F157" s="1933" t="s">
        <v>1754</v>
      </c>
      <c r="G157" s="1934">
        <f>Summary!E88</f>
        <v>0</v>
      </c>
      <c r="J157" s="1933"/>
      <c r="K157" s="1933"/>
      <c r="L157" s="1933"/>
      <c r="M157" s="1933"/>
      <c r="N157" s="1933"/>
      <c r="O157" s="1933"/>
      <c r="P157" s="1933"/>
      <c r="Q157" s="1933"/>
      <c r="R157" s="1933"/>
      <c r="S157" s="1933"/>
      <c r="T157" s="1933"/>
      <c r="U157" s="1933"/>
      <c r="V157" s="1933"/>
      <c r="W157" s="1933"/>
      <c r="X157" s="1933"/>
      <c r="Y157" s="1933"/>
      <c r="Z157" s="1933"/>
    </row>
    <row r="158" spans="1:26" ht="12" x14ac:dyDescent="0.2">
      <c r="A158" s="1933" t="str">
        <f>MID(Summary!$B$1,FIND(" ",Summary!$B$1,1)+1,4)</f>
        <v>2006</v>
      </c>
      <c r="B158" s="1933" t="s">
        <v>305</v>
      </c>
      <c r="C158" s="1933" t="s">
        <v>334</v>
      </c>
      <c r="D158" s="1933"/>
      <c r="E158" s="1933" t="s">
        <v>3</v>
      </c>
      <c r="F158" s="1933" t="s">
        <v>1754</v>
      </c>
      <c r="G158" s="1934">
        <f>Summary!E90</f>
        <v>0</v>
      </c>
      <c r="J158" s="1933"/>
      <c r="K158" s="1933"/>
      <c r="L158" s="1933"/>
      <c r="M158" s="1933"/>
      <c r="N158" s="1933"/>
      <c r="O158" s="1933"/>
      <c r="P158" s="1933"/>
      <c r="Q158" s="1933"/>
      <c r="R158" s="1933"/>
      <c r="S158" s="1933"/>
      <c r="T158" s="1933"/>
      <c r="U158" s="1933"/>
      <c r="V158" s="1933"/>
      <c r="W158" s="1933"/>
      <c r="X158" s="1933"/>
      <c r="Y158" s="1933"/>
      <c r="Z158" s="1933"/>
    </row>
    <row r="159" spans="1:26" ht="12" x14ac:dyDescent="0.2">
      <c r="A159" s="1933" t="str">
        <f>MID(Summary!$B$1,FIND(" ",Summary!$B$1,1)+1,4)</f>
        <v>2006</v>
      </c>
      <c r="B159" s="1933" t="s">
        <v>305</v>
      </c>
      <c r="C159" s="1933" t="s">
        <v>334</v>
      </c>
      <c r="D159" s="1933"/>
      <c r="E159" s="1933" t="s">
        <v>4</v>
      </c>
      <c r="F159" s="1933" t="s">
        <v>1754</v>
      </c>
      <c r="G159" s="1934">
        <f>Summary!E91</f>
        <v>0.17317698982487997</v>
      </c>
      <c r="J159" s="1933"/>
      <c r="K159" s="1933"/>
      <c r="L159" s="1933"/>
      <c r="M159" s="1933"/>
      <c r="N159" s="1933"/>
      <c r="O159" s="1933"/>
      <c r="P159" s="1933"/>
      <c r="Q159" s="1933"/>
      <c r="R159" s="1933"/>
      <c r="S159" s="1933"/>
      <c r="T159" s="1933"/>
      <c r="U159" s="1933"/>
      <c r="V159" s="1933"/>
      <c r="W159" s="1933"/>
      <c r="X159" s="1933"/>
      <c r="Y159" s="1933"/>
      <c r="Z159" s="1933"/>
    </row>
    <row r="160" spans="1:26" ht="12" x14ac:dyDescent="0.2">
      <c r="A160" s="1933" t="str">
        <f>MID(Summary!$B$1,FIND(" ",Summary!$B$1,1)+1,4)</f>
        <v>2006</v>
      </c>
      <c r="B160" s="1933" t="s">
        <v>305</v>
      </c>
      <c r="C160" s="1933" t="s">
        <v>334</v>
      </c>
      <c r="D160" s="1933"/>
      <c r="E160" s="1933" t="s">
        <v>5</v>
      </c>
      <c r="F160" s="1933" t="s">
        <v>1754</v>
      </c>
      <c r="G160" s="1934">
        <f>Summary!E92</f>
        <v>0</v>
      </c>
      <c r="I160" s="1933"/>
      <c r="J160" s="1933"/>
      <c r="K160" s="1933"/>
      <c r="L160" s="1933"/>
      <c r="M160" s="1933"/>
      <c r="N160" s="1933"/>
      <c r="O160" s="1933"/>
      <c r="P160" s="1933"/>
      <c r="Q160" s="1933"/>
      <c r="R160" s="1933"/>
      <c r="S160" s="1933"/>
      <c r="T160" s="1933"/>
      <c r="U160" s="1933"/>
      <c r="V160" s="1933"/>
      <c r="W160" s="1933"/>
      <c r="X160" s="1933"/>
      <c r="Y160" s="1933"/>
      <c r="Z160" s="1933"/>
    </row>
    <row r="161" spans="1:26" ht="12" x14ac:dyDescent="0.2">
      <c r="A161" s="1933" t="str">
        <f>MID(Summary!$B$1,FIND(" ",Summary!$B$1,1)+1,4)</f>
        <v>2006</v>
      </c>
      <c r="B161" s="1933" t="s">
        <v>305</v>
      </c>
      <c r="C161" s="1933" t="s">
        <v>308</v>
      </c>
      <c r="D161" s="1933"/>
      <c r="E161" s="1933" t="s">
        <v>3</v>
      </c>
      <c r="F161" s="1933" t="s">
        <v>1756</v>
      </c>
      <c r="G161" s="1934">
        <f>Summary!D82</f>
        <v>0.11669565290015972</v>
      </c>
      <c r="H161" s="1933"/>
      <c r="I161" s="1933"/>
      <c r="J161" s="1933"/>
      <c r="K161" s="1933"/>
      <c r="L161" s="1933"/>
      <c r="M161" s="1933"/>
      <c r="N161" s="1933"/>
      <c r="O161" s="1933"/>
      <c r="P161" s="1933"/>
      <c r="Q161" s="1933"/>
      <c r="R161" s="1933"/>
      <c r="S161" s="1933"/>
      <c r="T161" s="1933"/>
      <c r="U161" s="1933"/>
      <c r="V161" s="1933"/>
      <c r="W161" s="1933"/>
      <c r="X161" s="1933"/>
      <c r="Y161" s="1933"/>
      <c r="Z161" s="1933"/>
    </row>
    <row r="162" spans="1:26" ht="12" x14ac:dyDescent="0.2">
      <c r="A162" s="1933" t="str">
        <f>MID(Summary!$B$1,FIND(" ",Summary!$B$1,1)+1,4)</f>
        <v>2006</v>
      </c>
      <c r="B162" s="1933" t="s">
        <v>305</v>
      </c>
      <c r="C162" s="1933" t="s">
        <v>308</v>
      </c>
      <c r="D162" s="1933"/>
      <c r="E162" s="1933" t="s">
        <v>4</v>
      </c>
      <c r="F162" s="1933" t="s">
        <v>1756</v>
      </c>
      <c r="G162" s="1934">
        <f>Summary!D83</f>
        <v>3.137167004202321</v>
      </c>
      <c r="H162" s="1933"/>
      <c r="I162" s="1933"/>
      <c r="J162" s="1933"/>
      <c r="K162" s="1933"/>
      <c r="L162" s="1933"/>
      <c r="M162" s="1933"/>
      <c r="N162" s="1933"/>
      <c r="O162" s="1933"/>
      <c r="P162" s="1933"/>
      <c r="Q162" s="1933"/>
      <c r="R162" s="1933"/>
      <c r="S162" s="1933"/>
      <c r="T162" s="1933"/>
      <c r="U162" s="1933"/>
      <c r="V162" s="1933"/>
      <c r="W162" s="1933"/>
      <c r="X162" s="1933"/>
      <c r="Y162" s="1933"/>
      <c r="Z162" s="1933"/>
    </row>
    <row r="163" spans="1:26" ht="12" x14ac:dyDescent="0.2">
      <c r="A163" s="1933" t="str">
        <f>MID(Summary!$B$1,FIND(" ",Summary!$B$1,1)+1,4)</f>
        <v>2006</v>
      </c>
      <c r="B163" s="1933" t="s">
        <v>305</v>
      </c>
      <c r="C163" s="1933" t="s">
        <v>308</v>
      </c>
      <c r="D163" s="1933"/>
      <c r="E163" s="1933" t="s">
        <v>5</v>
      </c>
      <c r="F163" s="1933" t="s">
        <v>1756</v>
      </c>
      <c r="G163" s="1934">
        <f>Summary!D84</f>
        <v>6.2910419924456623E-5</v>
      </c>
      <c r="H163" s="1933"/>
      <c r="I163" s="1933"/>
      <c r="J163" s="1933"/>
      <c r="K163" s="1933"/>
      <c r="L163" s="1933"/>
      <c r="M163" s="1933"/>
      <c r="N163" s="1933"/>
      <c r="O163" s="1933"/>
      <c r="P163" s="1933"/>
      <c r="Q163" s="1933"/>
      <c r="R163" s="1933"/>
      <c r="S163" s="1933"/>
      <c r="T163" s="1933"/>
      <c r="U163" s="1933"/>
      <c r="V163" s="1933"/>
      <c r="W163" s="1933"/>
      <c r="X163" s="1933"/>
      <c r="Y163" s="1933"/>
      <c r="Z163" s="1933"/>
    </row>
    <row r="164" spans="1:26" ht="12" x14ac:dyDescent="0.2">
      <c r="A164" s="1933" t="str">
        <f>MID(Summary!$B$1,FIND(" ",Summary!$B$1,1)+1,4)</f>
        <v>2006</v>
      </c>
      <c r="B164" s="1933" t="s">
        <v>305</v>
      </c>
      <c r="C164" s="1933" t="s">
        <v>324</v>
      </c>
      <c r="D164" s="1933"/>
      <c r="E164" s="1933" t="s">
        <v>3</v>
      </c>
      <c r="F164" s="1933" t="s">
        <v>1756</v>
      </c>
      <c r="G164" s="1934">
        <f>Summary!D86</f>
        <v>0</v>
      </c>
      <c r="H164" s="1933"/>
      <c r="I164" s="1933"/>
      <c r="J164" s="1933"/>
      <c r="K164" s="1933"/>
      <c r="L164" s="1933"/>
      <c r="M164" s="1933"/>
      <c r="N164" s="1933"/>
      <c r="O164" s="1933"/>
      <c r="P164" s="1933"/>
      <c r="Q164" s="1933"/>
      <c r="R164" s="1933"/>
      <c r="S164" s="1933"/>
      <c r="T164" s="1933"/>
      <c r="U164" s="1933"/>
      <c r="V164" s="1933"/>
      <c r="W164" s="1933"/>
      <c r="X164" s="1933"/>
      <c r="Y164" s="1933"/>
      <c r="Z164" s="1933"/>
    </row>
    <row r="165" spans="1:26" ht="12" x14ac:dyDescent="0.2">
      <c r="A165" s="1933" t="str">
        <f>MID(Summary!$B$1,FIND(" ",Summary!$B$1,1)+1,4)</f>
        <v>2006</v>
      </c>
      <c r="B165" s="1933" t="s">
        <v>305</v>
      </c>
      <c r="C165" s="1933" t="s">
        <v>324</v>
      </c>
      <c r="D165" s="1933"/>
      <c r="E165" s="1933" t="s">
        <v>4</v>
      </c>
      <c r="F165" s="1933" t="s">
        <v>1756</v>
      </c>
      <c r="G165" s="1934">
        <f>Summary!D87</f>
        <v>0</v>
      </c>
      <c r="H165" s="1933"/>
      <c r="I165" s="1933"/>
      <c r="J165" s="1933"/>
      <c r="K165" s="1933"/>
      <c r="L165" s="1933"/>
      <c r="M165" s="1933"/>
      <c r="N165" s="1933"/>
      <c r="O165" s="1933"/>
      <c r="P165" s="1933"/>
      <c r="Q165" s="1933"/>
      <c r="R165" s="1933"/>
      <c r="S165" s="1933"/>
      <c r="T165" s="1933"/>
      <c r="U165" s="1933"/>
      <c r="V165" s="1933"/>
      <c r="W165" s="1933"/>
      <c r="X165" s="1933"/>
      <c r="Y165" s="1933"/>
      <c r="Z165" s="1933"/>
    </row>
    <row r="166" spans="1:26" ht="12" x14ac:dyDescent="0.2">
      <c r="A166" s="1933" t="str">
        <f>MID(Summary!$B$1,FIND(" ",Summary!$B$1,1)+1,4)</f>
        <v>2006</v>
      </c>
      <c r="B166" s="1933" t="s">
        <v>305</v>
      </c>
      <c r="C166" s="1933" t="s">
        <v>324</v>
      </c>
      <c r="D166" s="1933"/>
      <c r="E166" s="1933" t="s">
        <v>5</v>
      </c>
      <c r="F166" s="1933" t="s">
        <v>1756</v>
      </c>
      <c r="G166" s="1934">
        <f>Summary!D88</f>
        <v>0</v>
      </c>
      <c r="H166" s="1933"/>
      <c r="I166" s="1933"/>
      <c r="J166" s="1933"/>
      <c r="K166" s="1933"/>
      <c r="L166" s="1933"/>
      <c r="M166" s="1933"/>
      <c r="N166" s="1933"/>
      <c r="O166" s="1933"/>
      <c r="P166" s="1933"/>
      <c r="Q166" s="1933"/>
      <c r="R166" s="1933"/>
      <c r="S166" s="1933"/>
      <c r="T166" s="1933"/>
      <c r="U166" s="1933"/>
      <c r="V166" s="1933"/>
      <c r="W166" s="1933"/>
      <c r="X166" s="1933"/>
      <c r="Y166" s="1933"/>
      <c r="Z166" s="1933"/>
    </row>
    <row r="167" spans="1:26" ht="12" x14ac:dyDescent="0.2">
      <c r="A167" s="1933" t="str">
        <f>MID(Summary!$B$1,FIND(" ",Summary!$B$1,1)+1,4)</f>
        <v>2006</v>
      </c>
      <c r="B167" s="1933" t="s">
        <v>305</v>
      </c>
      <c r="C167" s="1933" t="s">
        <v>334</v>
      </c>
      <c r="D167" s="1933"/>
      <c r="E167" s="1933" t="s">
        <v>3</v>
      </c>
      <c r="F167" s="1933" t="s">
        <v>1756</v>
      </c>
      <c r="G167" s="1934">
        <f>Summary!D90</f>
        <v>0</v>
      </c>
      <c r="H167" s="1933"/>
      <c r="I167" s="1933"/>
      <c r="J167" s="1933"/>
      <c r="K167" s="1933"/>
      <c r="L167" s="1933"/>
      <c r="M167" s="1933"/>
      <c r="N167" s="1933"/>
      <c r="O167" s="1933"/>
      <c r="P167" s="1933"/>
      <c r="Q167" s="1933"/>
      <c r="R167" s="1933"/>
      <c r="S167" s="1933"/>
      <c r="T167" s="1933"/>
      <c r="U167" s="1933"/>
      <c r="V167" s="1933"/>
      <c r="W167" s="1933"/>
      <c r="X167" s="1933"/>
      <c r="Y167" s="1933"/>
      <c r="Z167" s="1933"/>
    </row>
    <row r="168" spans="1:26" ht="12" x14ac:dyDescent="0.2">
      <c r="A168" s="1933" t="str">
        <f>MID(Summary!$B$1,FIND(" ",Summary!$B$1,1)+1,4)</f>
        <v>2006</v>
      </c>
      <c r="B168" s="1933" t="s">
        <v>305</v>
      </c>
      <c r="C168" s="1933" t="s">
        <v>334</v>
      </c>
      <c r="D168" s="1933"/>
      <c r="E168" s="1933" t="s">
        <v>4</v>
      </c>
      <c r="F168" s="1933" t="s">
        <v>1756</v>
      </c>
      <c r="G168" s="1934">
        <f>Summary!D91</f>
        <v>0.50401331805663996</v>
      </c>
      <c r="H168" s="1933"/>
      <c r="I168" s="1933"/>
      <c r="J168" s="1933"/>
      <c r="K168" s="1933"/>
      <c r="L168" s="1933"/>
      <c r="M168" s="1933"/>
      <c r="N168" s="1933"/>
      <c r="O168" s="1933"/>
      <c r="P168" s="1933"/>
      <c r="Q168" s="1933"/>
      <c r="R168" s="1933"/>
      <c r="S168" s="1933"/>
      <c r="T168" s="1933"/>
      <c r="U168" s="1933"/>
      <c r="V168" s="1933"/>
      <c r="W168" s="1933"/>
      <c r="X168" s="1933"/>
      <c r="Y168" s="1933"/>
      <c r="Z168" s="1933"/>
    </row>
    <row r="169" spans="1:26" ht="12" x14ac:dyDescent="0.2">
      <c r="A169" s="1933" t="str">
        <f>MID(Summary!$B$1,FIND(" ",Summary!$B$1,1)+1,4)</f>
        <v>2006</v>
      </c>
      <c r="B169" s="1933" t="s">
        <v>305</v>
      </c>
      <c r="C169" s="1933" t="s">
        <v>334</v>
      </c>
      <c r="D169" s="1933"/>
      <c r="E169" s="1933" t="s">
        <v>5</v>
      </c>
      <c r="F169" s="1933" t="s">
        <v>1756</v>
      </c>
      <c r="G169" s="1934">
        <f>Summary!D92</f>
        <v>0</v>
      </c>
      <c r="H169" s="1933"/>
      <c r="I169" s="1933"/>
      <c r="J169" s="1933"/>
      <c r="K169" s="1933"/>
      <c r="L169" s="1933"/>
      <c r="M169" s="1933"/>
      <c r="N169" s="1933"/>
      <c r="O169" s="1933"/>
      <c r="P169" s="1933"/>
      <c r="Q169" s="1933"/>
      <c r="R169" s="1933"/>
      <c r="S169" s="1933"/>
      <c r="T169" s="1933"/>
      <c r="U169" s="1933"/>
      <c r="V169" s="1933"/>
      <c r="W169" s="1933"/>
      <c r="X169" s="1933"/>
      <c r="Y169" s="1933"/>
      <c r="Z169" s="1933"/>
    </row>
    <row r="170" spans="1:26" ht="12" x14ac:dyDescent="0.2">
      <c r="A170" s="1933" t="str">
        <f>MID(Summary!$B$1,FIND(" ",Summary!$B$1,1)+1,4)</f>
        <v>2006</v>
      </c>
      <c r="B170" s="1933" t="s">
        <v>344</v>
      </c>
      <c r="C170" s="1933" t="s">
        <v>346</v>
      </c>
      <c r="E170" s="1933" t="s">
        <v>3</v>
      </c>
      <c r="F170" s="1933" t="s">
        <v>1754</v>
      </c>
      <c r="G170" s="1934">
        <f>Summary!E95</f>
        <v>1.4832417277099998</v>
      </c>
      <c r="J170" s="1933"/>
      <c r="K170" s="1933"/>
      <c r="L170" s="1933"/>
      <c r="M170" s="1933"/>
      <c r="N170" s="1933"/>
      <c r="O170" s="1933"/>
      <c r="P170" s="1933"/>
      <c r="Q170" s="1933"/>
      <c r="R170" s="1933"/>
      <c r="S170" s="1933"/>
      <c r="T170" s="1933"/>
      <c r="U170" s="1933"/>
      <c r="V170" s="1933"/>
      <c r="W170" s="1933"/>
      <c r="X170" s="1933"/>
      <c r="Y170" s="1933"/>
      <c r="Z170" s="1933"/>
    </row>
    <row r="171" spans="1:26" ht="12" x14ac:dyDescent="0.2">
      <c r="A171" s="1933" t="str">
        <f>MID(Summary!$B$1,FIND(" ",Summary!$B$1,1)+1,4)</f>
        <v>2006</v>
      </c>
      <c r="B171" s="1933" t="s">
        <v>344</v>
      </c>
      <c r="C171" s="1933" t="s">
        <v>346</v>
      </c>
      <c r="E171" s="1933" t="s">
        <v>4</v>
      </c>
      <c r="F171" s="1933" t="s">
        <v>1754</v>
      </c>
      <c r="G171" s="1934">
        <f>Summary!E96</f>
        <v>0</v>
      </c>
      <c r="J171" s="1933"/>
      <c r="K171" s="1933"/>
      <c r="L171" s="1933"/>
      <c r="M171" s="1933"/>
      <c r="N171" s="1933"/>
      <c r="O171" s="1933"/>
      <c r="P171" s="1933"/>
      <c r="Q171" s="1933"/>
      <c r="R171" s="1933"/>
      <c r="S171" s="1933"/>
      <c r="T171" s="1933"/>
      <c r="U171" s="1933"/>
      <c r="V171" s="1933"/>
      <c r="W171" s="1933"/>
      <c r="X171" s="1933"/>
      <c r="Y171" s="1933"/>
      <c r="Z171" s="1933"/>
    </row>
    <row r="172" spans="1:26" ht="12" x14ac:dyDescent="0.2">
      <c r="A172" s="1933" t="str">
        <f>MID(Summary!$B$1,FIND(" ",Summary!$B$1,1)+1,4)</f>
        <v>2006</v>
      </c>
      <c r="B172" s="1933" t="s">
        <v>344</v>
      </c>
      <c r="C172" s="1933" t="s">
        <v>346</v>
      </c>
      <c r="E172" s="1933" t="s">
        <v>5</v>
      </c>
      <c r="F172" s="1933" t="s">
        <v>1754</v>
      </c>
      <c r="G172" s="1934">
        <f>Summary!E97</f>
        <v>0</v>
      </c>
      <c r="J172" s="1933"/>
      <c r="K172" s="1933"/>
      <c r="L172" s="1933"/>
      <c r="M172" s="1933"/>
      <c r="N172" s="1933"/>
      <c r="O172" s="1933"/>
      <c r="P172" s="1933"/>
      <c r="Q172" s="1933"/>
      <c r="R172" s="1933"/>
      <c r="S172" s="1933"/>
      <c r="T172" s="1933"/>
      <c r="U172" s="1933"/>
      <c r="V172" s="1933"/>
      <c r="W172" s="1933"/>
      <c r="X172" s="1933"/>
      <c r="Y172" s="1933"/>
      <c r="Z172" s="1933"/>
    </row>
    <row r="173" spans="1:26" ht="12" x14ac:dyDescent="0.2">
      <c r="A173" s="1933" t="str">
        <f>MID(Summary!$B$1,FIND(" ",Summary!$B$1,1)+1,4)</f>
        <v>2006</v>
      </c>
      <c r="B173" s="1933" t="s">
        <v>344</v>
      </c>
      <c r="C173" s="1933" t="s">
        <v>361</v>
      </c>
      <c r="E173" s="1933" t="s">
        <v>3</v>
      </c>
      <c r="F173" s="1933" t="s">
        <v>1754</v>
      </c>
      <c r="G173" s="1934">
        <f>Summary!E99</f>
        <v>0.11394119158533558</v>
      </c>
      <c r="J173" s="1933"/>
      <c r="K173" s="1933"/>
      <c r="L173" s="1933"/>
      <c r="M173" s="1933"/>
      <c r="N173" s="1933"/>
      <c r="O173" s="1933"/>
      <c r="P173" s="1933"/>
      <c r="Q173" s="1933"/>
      <c r="R173" s="1933"/>
      <c r="S173" s="1933"/>
      <c r="T173" s="1933"/>
      <c r="U173" s="1933"/>
      <c r="V173" s="1933"/>
      <c r="W173" s="1933"/>
      <c r="X173" s="1933"/>
      <c r="Y173" s="1933"/>
      <c r="Z173" s="1933"/>
    </row>
    <row r="174" spans="1:26" ht="12" x14ac:dyDescent="0.2">
      <c r="A174" s="1933" t="str">
        <f>MID(Summary!$B$1,FIND(" ",Summary!$B$1,1)+1,4)</f>
        <v>2006</v>
      </c>
      <c r="B174" s="1933" t="s">
        <v>344</v>
      </c>
      <c r="C174" s="1933" t="s">
        <v>361</v>
      </c>
      <c r="E174" s="1933" t="s">
        <v>4</v>
      </c>
      <c r="F174" s="1933" t="s">
        <v>1754</v>
      </c>
      <c r="G174" s="1934">
        <f>Summary!E100</f>
        <v>0</v>
      </c>
      <c r="J174" s="1933"/>
      <c r="K174" s="1933"/>
      <c r="L174" s="1933"/>
      <c r="M174" s="1933"/>
      <c r="N174" s="1933"/>
      <c r="O174" s="1933"/>
      <c r="P174" s="1933"/>
      <c r="Q174" s="1933"/>
      <c r="R174" s="1933"/>
      <c r="S174" s="1933"/>
      <c r="T174" s="1933"/>
      <c r="U174" s="1933"/>
      <c r="V174" s="1933"/>
      <c r="W174" s="1933"/>
      <c r="X174" s="1933"/>
      <c r="Y174" s="1933"/>
      <c r="Z174" s="1933"/>
    </row>
    <row r="175" spans="1:26" ht="12" x14ac:dyDescent="0.2">
      <c r="A175" s="1933" t="str">
        <f>MID(Summary!$B$1,FIND(" ",Summary!$B$1,1)+1,4)</f>
        <v>2006</v>
      </c>
      <c r="B175" s="1933" t="s">
        <v>344</v>
      </c>
      <c r="C175" s="1933" t="s">
        <v>361</v>
      </c>
      <c r="E175" s="1933" t="s">
        <v>5</v>
      </c>
      <c r="F175" s="1933" t="s">
        <v>1754</v>
      </c>
      <c r="G175" s="1934">
        <f>Summary!E101</f>
        <v>0</v>
      </c>
      <c r="J175" s="1933"/>
      <c r="K175" s="1933"/>
      <c r="L175" s="1933"/>
      <c r="M175" s="1933"/>
      <c r="N175" s="1933"/>
      <c r="O175" s="1933"/>
      <c r="P175" s="1933"/>
      <c r="Q175" s="1933"/>
      <c r="R175" s="1933"/>
      <c r="S175" s="1933"/>
      <c r="T175" s="1933"/>
      <c r="U175" s="1933"/>
      <c r="V175" s="1933"/>
      <c r="W175" s="1933"/>
      <c r="X175" s="1933"/>
      <c r="Y175" s="1933"/>
      <c r="Z175" s="1933"/>
    </row>
    <row r="176" spans="1:26" ht="12" x14ac:dyDescent="0.2">
      <c r="A176" s="1933" t="str">
        <f>MID(Summary!$B$1,FIND(" ",Summary!$B$1,1)+1,4)</f>
        <v>2006</v>
      </c>
      <c r="B176" s="1933" t="s">
        <v>344</v>
      </c>
      <c r="C176" s="1933" t="s">
        <v>379</v>
      </c>
      <c r="E176" s="1933" t="s">
        <v>3</v>
      </c>
      <c r="F176" s="1933" t="s">
        <v>1754</v>
      </c>
      <c r="G176" s="1934">
        <f>Summary!E103</f>
        <v>4.7611020076877966E-2</v>
      </c>
      <c r="J176" s="1933"/>
      <c r="K176" s="1933"/>
      <c r="L176" s="1933"/>
      <c r="M176" s="1933"/>
      <c r="N176" s="1933"/>
      <c r="O176" s="1933"/>
      <c r="P176" s="1933"/>
      <c r="Q176" s="1933"/>
      <c r="R176" s="1933"/>
      <c r="S176" s="1933"/>
      <c r="T176" s="1933"/>
      <c r="U176" s="1933"/>
      <c r="V176" s="1933"/>
      <c r="W176" s="1933"/>
      <c r="X176" s="1933"/>
      <c r="Y176" s="1933"/>
      <c r="Z176" s="1933"/>
    </row>
    <row r="177" spans="1:26" ht="12" x14ac:dyDescent="0.2">
      <c r="A177" s="1933" t="str">
        <f>MID(Summary!$B$1,FIND(" ",Summary!$B$1,1)+1,4)</f>
        <v>2006</v>
      </c>
      <c r="B177" s="1933" t="s">
        <v>344</v>
      </c>
      <c r="C177" s="1933" t="s">
        <v>379</v>
      </c>
      <c r="E177" s="1933" t="s">
        <v>4</v>
      </c>
      <c r="F177" s="1933" t="s">
        <v>1754</v>
      </c>
      <c r="G177" s="1934">
        <f>Summary!E104</f>
        <v>0</v>
      </c>
      <c r="J177" s="1933"/>
      <c r="K177" s="1933"/>
      <c r="L177" s="1933"/>
      <c r="M177" s="1933"/>
      <c r="N177" s="1933"/>
      <c r="O177" s="1933"/>
      <c r="P177" s="1933"/>
      <c r="Q177" s="1933"/>
      <c r="R177" s="1933"/>
      <c r="S177" s="1933"/>
      <c r="T177" s="1933"/>
      <c r="U177" s="1933"/>
      <c r="V177" s="1933"/>
      <c r="W177" s="1933"/>
      <c r="X177" s="1933"/>
      <c r="Y177" s="1933"/>
      <c r="Z177" s="1933"/>
    </row>
    <row r="178" spans="1:26" ht="12" x14ac:dyDescent="0.2">
      <c r="A178" s="1933" t="str">
        <f>MID(Summary!$B$1,FIND(" ",Summary!$B$1,1)+1,4)</f>
        <v>2006</v>
      </c>
      <c r="B178" s="1933" t="s">
        <v>344</v>
      </c>
      <c r="C178" s="1933" t="s">
        <v>379</v>
      </c>
      <c r="E178" s="1933" t="s">
        <v>5</v>
      </c>
      <c r="F178" s="1933" t="s">
        <v>1754</v>
      </c>
      <c r="G178" s="1934">
        <f>Summary!E105</f>
        <v>0</v>
      </c>
      <c r="J178" s="1933"/>
      <c r="K178" s="1933"/>
      <c r="L178" s="1933"/>
      <c r="M178" s="1933"/>
      <c r="N178" s="1933"/>
      <c r="O178" s="1933"/>
      <c r="P178" s="1933"/>
      <c r="Q178" s="1933"/>
      <c r="R178" s="1933"/>
      <c r="S178" s="1933"/>
      <c r="T178" s="1933"/>
      <c r="U178" s="1933"/>
      <c r="V178" s="1933"/>
      <c r="W178" s="1933"/>
      <c r="X178" s="1933"/>
      <c r="Y178" s="1933"/>
      <c r="Z178" s="1933"/>
    </row>
    <row r="179" spans="1:26" ht="12" x14ac:dyDescent="0.2">
      <c r="A179" s="1933" t="str">
        <f>MID(Summary!$B$1,FIND(" ",Summary!$B$1,1)+1,4)</f>
        <v>2006</v>
      </c>
      <c r="B179" s="1933" t="s">
        <v>344</v>
      </c>
      <c r="C179" s="1933" t="s">
        <v>390</v>
      </c>
      <c r="E179" s="1933" t="s">
        <v>3</v>
      </c>
      <c r="F179" s="1933" t="s">
        <v>1754</v>
      </c>
      <c r="G179" s="1934">
        <f>Summary!E107</f>
        <v>3.5971163869434326</v>
      </c>
      <c r="J179" s="1933"/>
      <c r="K179" s="1933"/>
      <c r="L179" s="1933"/>
      <c r="M179" s="1933"/>
      <c r="N179" s="1933"/>
      <c r="O179" s="1933"/>
      <c r="P179" s="1933"/>
      <c r="Q179" s="1933"/>
      <c r="R179" s="1933"/>
      <c r="S179" s="1933"/>
      <c r="T179" s="1933"/>
      <c r="U179" s="1933"/>
      <c r="V179" s="1933"/>
      <c r="W179" s="1933"/>
      <c r="X179" s="1933"/>
      <c r="Y179" s="1933"/>
      <c r="Z179" s="1933"/>
    </row>
    <row r="180" spans="1:26" ht="12" x14ac:dyDescent="0.2">
      <c r="A180" s="1933" t="str">
        <f>MID(Summary!$B$1,FIND(" ",Summary!$B$1,1)+1,4)</f>
        <v>2006</v>
      </c>
      <c r="B180" s="1933" t="s">
        <v>344</v>
      </c>
      <c r="C180" s="1933" t="s">
        <v>390</v>
      </c>
      <c r="E180" s="1933" t="s">
        <v>4</v>
      </c>
      <c r="F180" s="1933" t="s">
        <v>1754</v>
      </c>
      <c r="G180" s="1934">
        <f>Summary!E108</f>
        <v>0</v>
      </c>
      <c r="J180" s="1933"/>
      <c r="K180" s="1933"/>
      <c r="L180" s="1933"/>
      <c r="M180" s="1933"/>
      <c r="N180" s="1933"/>
      <c r="O180" s="1933"/>
      <c r="P180" s="1933"/>
      <c r="Q180" s="1933"/>
      <c r="R180" s="1933"/>
      <c r="S180" s="1933"/>
      <c r="T180" s="1933"/>
      <c r="U180" s="1933"/>
      <c r="V180" s="1933"/>
      <c r="W180" s="1933"/>
      <c r="X180" s="1933"/>
      <c r="Y180" s="1933"/>
      <c r="Z180" s="1933"/>
    </row>
    <row r="181" spans="1:26" ht="12" x14ac:dyDescent="0.2">
      <c r="A181" s="1933" t="str">
        <f>MID(Summary!$B$1,FIND(" ",Summary!$B$1,1)+1,4)</f>
        <v>2006</v>
      </c>
      <c r="B181" s="1933" t="s">
        <v>344</v>
      </c>
      <c r="C181" s="1933" t="s">
        <v>390</v>
      </c>
      <c r="E181" s="1933" t="s">
        <v>5</v>
      </c>
      <c r="F181" s="1933" t="s">
        <v>1754</v>
      </c>
      <c r="G181" s="1934">
        <f>Summary!E109</f>
        <v>0</v>
      </c>
      <c r="J181" s="1933"/>
      <c r="K181" s="1933"/>
      <c r="L181" s="1933"/>
      <c r="M181" s="1933"/>
      <c r="N181" s="1933"/>
      <c r="O181" s="1933"/>
      <c r="P181" s="1933"/>
      <c r="Q181" s="1933"/>
      <c r="R181" s="1933"/>
      <c r="S181" s="1933"/>
      <c r="T181" s="1933"/>
      <c r="U181" s="1933"/>
      <c r="V181" s="1933"/>
      <c r="W181" s="1933"/>
      <c r="X181" s="1933"/>
      <c r="Y181" s="1933"/>
      <c r="Z181" s="1933"/>
    </row>
    <row r="182" spans="1:26" ht="12" x14ac:dyDescent="0.2">
      <c r="A182" s="1933" t="str">
        <f>MID(Summary!$B$1,FIND(" ",Summary!$B$1,1)+1,4)</f>
        <v>2006</v>
      </c>
      <c r="B182" s="1933" t="s">
        <v>344</v>
      </c>
      <c r="C182" s="1933" t="s">
        <v>396</v>
      </c>
      <c r="E182" s="1933" t="s">
        <v>3</v>
      </c>
      <c r="F182" s="1933" t="s">
        <v>1754</v>
      </c>
      <c r="G182" s="1934">
        <f>Summary!E111</f>
        <v>0</v>
      </c>
      <c r="J182" s="1933"/>
      <c r="K182" s="1933"/>
      <c r="L182" s="1933"/>
      <c r="M182" s="1933"/>
      <c r="N182" s="1933"/>
      <c r="O182" s="1933"/>
      <c r="P182" s="1933"/>
      <c r="Q182" s="1933"/>
      <c r="R182" s="1933"/>
      <c r="S182" s="1933"/>
      <c r="T182" s="1933"/>
      <c r="U182" s="1933"/>
      <c r="V182" s="1933"/>
      <c r="W182" s="1933"/>
      <c r="X182" s="1933"/>
      <c r="Y182" s="1933"/>
      <c r="Z182" s="1933"/>
    </row>
    <row r="183" spans="1:26" ht="12" x14ac:dyDescent="0.2">
      <c r="A183" s="1933" t="str">
        <f>MID(Summary!$B$1,FIND(" ",Summary!$B$1,1)+1,4)</f>
        <v>2006</v>
      </c>
      <c r="B183" s="1933" t="s">
        <v>344</v>
      </c>
      <c r="C183" s="1933" t="s">
        <v>396</v>
      </c>
      <c r="E183" s="1933" t="s">
        <v>4</v>
      </c>
      <c r="F183" s="1933" t="s">
        <v>1754</v>
      </c>
      <c r="G183" s="1934">
        <f>Summary!E112</f>
        <v>0</v>
      </c>
      <c r="J183" s="1933"/>
      <c r="K183" s="1933"/>
      <c r="L183" s="1933"/>
      <c r="M183" s="1933"/>
      <c r="N183" s="1933"/>
      <c r="O183" s="1933"/>
      <c r="P183" s="1933"/>
      <c r="Q183" s="1933"/>
      <c r="R183" s="1933"/>
      <c r="S183" s="1933"/>
      <c r="T183" s="1933"/>
      <c r="U183" s="1933"/>
      <c r="V183" s="1933"/>
      <c r="W183" s="1933"/>
      <c r="X183" s="1933"/>
      <c r="Y183" s="1933"/>
      <c r="Z183" s="1933"/>
    </row>
    <row r="184" spans="1:26" ht="12" x14ac:dyDescent="0.2">
      <c r="A184" s="1933" t="str">
        <f>MID(Summary!$B$1,FIND(" ",Summary!$B$1,1)+1,4)</f>
        <v>2006</v>
      </c>
      <c r="B184" s="1933" t="s">
        <v>344</v>
      </c>
      <c r="C184" s="1933" t="s">
        <v>396</v>
      </c>
      <c r="E184" s="1933" t="s">
        <v>1760</v>
      </c>
      <c r="F184" s="1933" t="s">
        <v>1754</v>
      </c>
      <c r="G184" s="1934">
        <f>Summary!E113</f>
        <v>2.1307508309377847</v>
      </c>
      <c r="J184" s="1933"/>
      <c r="K184" s="1933"/>
      <c r="L184" s="1933"/>
      <c r="M184" s="1933"/>
      <c r="N184" s="1933"/>
      <c r="O184" s="1933"/>
      <c r="P184" s="1933"/>
      <c r="Q184" s="1933"/>
      <c r="R184" s="1933"/>
      <c r="S184" s="1933"/>
      <c r="T184" s="1933"/>
      <c r="U184" s="1933"/>
      <c r="V184" s="1933"/>
      <c r="W184" s="1933"/>
      <c r="X184" s="1933"/>
      <c r="Y184" s="1933"/>
      <c r="Z184" s="1933"/>
    </row>
    <row r="185" spans="1:26" ht="12" x14ac:dyDescent="0.2">
      <c r="A185" s="1933" t="str">
        <f>MID(Summary!$B$1,FIND(" ",Summary!$B$1,1)+1,4)</f>
        <v>2006</v>
      </c>
      <c r="B185" s="1933" t="s">
        <v>344</v>
      </c>
      <c r="C185" s="1933" t="s">
        <v>404</v>
      </c>
      <c r="E185" s="1933" t="s">
        <v>3</v>
      </c>
      <c r="F185" s="1933" t="s">
        <v>1754</v>
      </c>
      <c r="G185" s="1934">
        <f>Summary!E115</f>
        <v>0</v>
      </c>
      <c r="J185" s="1933"/>
      <c r="K185" s="1933"/>
      <c r="L185" s="1933"/>
      <c r="M185" s="1933"/>
      <c r="N185" s="1933"/>
      <c r="O185" s="1933"/>
      <c r="P185" s="1933"/>
      <c r="Q185" s="1933"/>
      <c r="R185" s="1933"/>
      <c r="S185" s="1933"/>
      <c r="T185" s="1933"/>
      <c r="U185" s="1933"/>
      <c r="V185" s="1933"/>
      <c r="W185" s="1933"/>
      <c r="X185" s="1933"/>
      <c r="Y185" s="1933"/>
      <c r="Z185" s="1933"/>
    </row>
    <row r="186" spans="1:26" ht="12" x14ac:dyDescent="0.2">
      <c r="A186" s="1933" t="str">
        <f>MID(Summary!$B$1,FIND(" ",Summary!$B$1,1)+1,4)</f>
        <v>2006</v>
      </c>
      <c r="B186" s="1933" t="s">
        <v>344</v>
      </c>
      <c r="C186" s="1933" t="s">
        <v>404</v>
      </c>
      <c r="E186" s="1933" t="s">
        <v>4</v>
      </c>
      <c r="F186" s="1933" t="s">
        <v>1754</v>
      </c>
      <c r="G186" s="1934">
        <f>Summary!E116</f>
        <v>0</v>
      </c>
      <c r="J186" s="1933"/>
      <c r="K186" s="1933"/>
      <c r="L186" s="1933"/>
      <c r="M186" s="1933"/>
      <c r="N186" s="1933"/>
      <c r="O186" s="1933"/>
      <c r="P186" s="1933"/>
      <c r="Q186" s="1933"/>
      <c r="R186" s="1933"/>
      <c r="S186" s="1933"/>
      <c r="T186" s="1933"/>
      <c r="U186" s="1933"/>
      <c r="V186" s="1933"/>
      <c r="W186" s="1933"/>
      <c r="X186" s="1933"/>
      <c r="Y186" s="1933"/>
      <c r="Z186" s="1933"/>
    </row>
    <row r="187" spans="1:26" ht="12" x14ac:dyDescent="0.2">
      <c r="A187" s="1933" t="str">
        <f>MID(Summary!$B$1,FIND(" ",Summary!$B$1,1)+1,4)</f>
        <v>2006</v>
      </c>
      <c r="B187" s="1933" t="s">
        <v>344</v>
      </c>
      <c r="C187" s="1933" t="s">
        <v>404</v>
      </c>
      <c r="E187" s="1933" t="s">
        <v>1760</v>
      </c>
      <c r="F187" s="1933" t="s">
        <v>1754</v>
      </c>
      <c r="G187" s="1934">
        <f>Summary!E117</f>
        <v>0.23102547394662984</v>
      </c>
      <c r="J187" s="1933"/>
      <c r="K187" s="1933"/>
      <c r="L187" s="1933"/>
      <c r="M187" s="1933"/>
      <c r="N187" s="1933"/>
      <c r="O187" s="1933"/>
      <c r="P187" s="1933"/>
      <c r="Q187" s="1933"/>
      <c r="R187" s="1933"/>
      <c r="S187" s="1933"/>
      <c r="T187" s="1933"/>
      <c r="U187" s="1933"/>
      <c r="V187" s="1933"/>
      <c r="W187" s="1933"/>
      <c r="X187" s="1933"/>
      <c r="Y187" s="1933"/>
      <c r="Z187" s="1933"/>
    </row>
    <row r="188" spans="1:26" ht="12" x14ac:dyDescent="0.2">
      <c r="A188" s="1933" t="str">
        <f>MID(Summary!$B$1,FIND(" ",Summary!$B$1,1)+1,4)</f>
        <v>2006</v>
      </c>
      <c r="B188" s="1933" t="s">
        <v>344</v>
      </c>
      <c r="C188" s="1933" t="s">
        <v>410</v>
      </c>
      <c r="E188" s="1933" t="s">
        <v>3</v>
      </c>
      <c r="F188" s="1933" t="s">
        <v>1754</v>
      </c>
      <c r="G188" s="1934">
        <f>Summary!E119</f>
        <v>0</v>
      </c>
      <c r="J188" s="1933"/>
      <c r="K188" s="1933"/>
      <c r="L188" s="1933"/>
      <c r="M188" s="1933"/>
      <c r="N188" s="1933"/>
      <c r="O188" s="1933"/>
      <c r="P188" s="1933"/>
      <c r="Q188" s="1933"/>
      <c r="R188" s="1933"/>
      <c r="S188" s="1933"/>
      <c r="T188" s="1933"/>
      <c r="U188" s="1933"/>
      <c r="V188" s="1933"/>
      <c r="W188" s="1933"/>
      <c r="X188" s="1933"/>
      <c r="Y188" s="1933"/>
      <c r="Z188" s="1933"/>
    </row>
    <row r="189" spans="1:26" ht="12" x14ac:dyDescent="0.2">
      <c r="A189" s="1933" t="str">
        <f>MID(Summary!$B$1,FIND(" ",Summary!$B$1,1)+1,4)</f>
        <v>2006</v>
      </c>
      <c r="B189" s="1933" t="s">
        <v>344</v>
      </c>
      <c r="C189" s="1933" t="s">
        <v>410</v>
      </c>
      <c r="E189" s="1933" t="s">
        <v>4</v>
      </c>
      <c r="F189" s="1933" t="s">
        <v>1754</v>
      </c>
      <c r="G189" s="1934">
        <f>Summary!E120</f>
        <v>0</v>
      </c>
      <c r="J189" s="1933"/>
      <c r="K189" s="1933"/>
      <c r="L189" s="1933"/>
      <c r="M189" s="1933"/>
      <c r="N189" s="1933"/>
      <c r="O189" s="1933"/>
      <c r="P189" s="1933"/>
      <c r="Q189" s="1933"/>
      <c r="R189" s="1933"/>
      <c r="S189" s="1933"/>
      <c r="T189" s="1933"/>
      <c r="U189" s="1933"/>
      <c r="V189" s="1933"/>
      <c r="W189" s="1933"/>
      <c r="X189" s="1933"/>
      <c r="Y189" s="1933"/>
      <c r="Z189" s="1933"/>
    </row>
    <row r="190" spans="1:26" ht="12" x14ac:dyDescent="0.2">
      <c r="A190" s="1933" t="str">
        <f>MID(Summary!$B$1,FIND(" ",Summary!$B$1,1)+1,4)</f>
        <v>2006</v>
      </c>
      <c r="B190" s="1933" t="s">
        <v>344</v>
      </c>
      <c r="C190" s="1933" t="s">
        <v>410</v>
      </c>
      <c r="E190" s="1933" t="s">
        <v>1760</v>
      </c>
      <c r="F190" s="1933" t="s">
        <v>1754</v>
      </c>
      <c r="G190" s="1934">
        <f>Summary!E121</f>
        <v>0</v>
      </c>
      <c r="J190" s="1933"/>
      <c r="K190" s="1933"/>
      <c r="L190" s="1933"/>
      <c r="M190" s="1933"/>
      <c r="N190" s="1933"/>
      <c r="O190" s="1933"/>
      <c r="P190" s="1933"/>
      <c r="Q190" s="1933"/>
      <c r="R190" s="1933"/>
      <c r="S190" s="1933"/>
      <c r="T190" s="1933"/>
      <c r="U190" s="1933"/>
      <c r="V190" s="1933"/>
      <c r="W190" s="1933"/>
      <c r="X190" s="1933"/>
      <c r="Y190" s="1933"/>
      <c r="Z190" s="1933"/>
    </row>
    <row r="191" spans="1:26" ht="12" x14ac:dyDescent="0.2">
      <c r="A191" s="1933" t="str">
        <f>MID(Summary!$B$1,FIND(" ",Summary!$B$1,1)+1,4)</f>
        <v>2006</v>
      </c>
      <c r="B191" s="1933" t="s">
        <v>344</v>
      </c>
      <c r="C191" s="1933" t="s">
        <v>1744</v>
      </c>
      <c r="E191" s="1933" t="s">
        <v>3</v>
      </c>
      <c r="F191" s="1933" t="s">
        <v>1754</v>
      </c>
      <c r="G191" s="1934">
        <f>Summary!E123</f>
        <v>6.2698079697975711E-4</v>
      </c>
      <c r="J191" s="1933"/>
      <c r="K191" s="1933"/>
      <c r="L191" s="1933"/>
      <c r="M191" s="1933"/>
      <c r="N191" s="1933"/>
      <c r="O191" s="1933"/>
      <c r="P191" s="1933"/>
      <c r="Q191" s="1933"/>
      <c r="R191" s="1933"/>
      <c r="S191" s="1933"/>
      <c r="T191" s="1933"/>
      <c r="U191" s="1933"/>
      <c r="V191" s="1933"/>
      <c r="W191" s="1933"/>
      <c r="X191" s="1933"/>
      <c r="Y191" s="1933"/>
      <c r="Z191" s="1933"/>
    </row>
    <row r="192" spans="1:26" ht="12" x14ac:dyDescent="0.2">
      <c r="A192" s="1933" t="str">
        <f>MID(Summary!$B$1,FIND(" ",Summary!$B$1,1)+1,4)</f>
        <v>2006</v>
      </c>
      <c r="B192" s="1933" t="s">
        <v>344</v>
      </c>
      <c r="C192" s="1933" t="s">
        <v>1744</v>
      </c>
      <c r="E192" s="1933" t="s">
        <v>4</v>
      </c>
      <c r="F192" s="1933" t="s">
        <v>1754</v>
      </c>
      <c r="G192" s="1934">
        <f>Summary!E124</f>
        <v>0</v>
      </c>
      <c r="J192" s="1933"/>
      <c r="K192" s="1933"/>
      <c r="L192" s="1933"/>
      <c r="M192" s="1933"/>
      <c r="N192" s="1933"/>
      <c r="O192" s="1933"/>
      <c r="P192" s="1933"/>
      <c r="Q192" s="1933"/>
      <c r="R192" s="1933"/>
      <c r="S192" s="1933"/>
      <c r="T192" s="1933"/>
      <c r="U192" s="1933"/>
      <c r="V192" s="1933"/>
      <c r="W192" s="1933"/>
      <c r="X192" s="1933"/>
      <c r="Y192" s="1933"/>
      <c r="Z192" s="1933"/>
    </row>
    <row r="193" spans="1:26" ht="12" x14ac:dyDescent="0.2">
      <c r="A193" s="1933" t="str">
        <f>MID(Summary!$B$1,FIND(" ",Summary!$B$1,1)+1,4)</f>
        <v>2006</v>
      </c>
      <c r="B193" s="1933" t="s">
        <v>344</v>
      </c>
      <c r="C193" s="1933" t="s">
        <v>1744</v>
      </c>
      <c r="E193" s="1933" t="s">
        <v>1760</v>
      </c>
      <c r="F193" s="1933" t="s">
        <v>1754</v>
      </c>
      <c r="G193" s="1934">
        <f>Summary!E125</f>
        <v>0</v>
      </c>
      <c r="J193" s="1933"/>
      <c r="K193" s="1933"/>
      <c r="L193" s="1933"/>
      <c r="M193" s="1933"/>
      <c r="N193" s="1933"/>
      <c r="O193" s="1933"/>
      <c r="P193" s="1933"/>
      <c r="Q193" s="1933"/>
      <c r="R193" s="1933"/>
      <c r="S193" s="1933"/>
      <c r="T193" s="1933"/>
      <c r="U193" s="1933"/>
      <c r="V193" s="1933"/>
      <c r="W193" s="1933"/>
      <c r="X193" s="1933"/>
      <c r="Y193" s="1933"/>
      <c r="Z193" s="1933"/>
    </row>
    <row r="194" spans="1:26" ht="12" x14ac:dyDescent="0.2">
      <c r="A194" s="1933" t="str">
        <f>MID(Summary!$B$1,FIND(" ",Summary!$B$1,1)+1,4)</f>
        <v>2006</v>
      </c>
      <c r="B194" s="1933" t="s">
        <v>344</v>
      </c>
      <c r="C194" s="1933" t="s">
        <v>424</v>
      </c>
      <c r="E194" s="1933" t="s">
        <v>3</v>
      </c>
      <c r="F194" s="1933" t="s">
        <v>1754</v>
      </c>
      <c r="G194" s="1934">
        <f>Summary!E127</f>
        <v>0</v>
      </c>
      <c r="J194" s="1933"/>
      <c r="K194" s="1933"/>
      <c r="L194" s="1933"/>
      <c r="M194" s="1933"/>
      <c r="N194" s="1933"/>
      <c r="O194" s="1933"/>
      <c r="P194" s="1933"/>
      <c r="Q194" s="1933"/>
      <c r="R194" s="1933"/>
      <c r="S194" s="1933"/>
      <c r="T194" s="1933"/>
      <c r="U194" s="1933"/>
      <c r="V194" s="1933"/>
      <c r="W194" s="1933"/>
      <c r="X194" s="1933"/>
      <c r="Y194" s="1933"/>
      <c r="Z194" s="1933"/>
    </row>
    <row r="195" spans="1:26" ht="12" x14ac:dyDescent="0.2">
      <c r="A195" s="1933" t="str">
        <f>MID(Summary!$B$1,FIND(" ",Summary!$B$1,1)+1,4)</f>
        <v>2006</v>
      </c>
      <c r="B195" s="1933" t="s">
        <v>344</v>
      </c>
      <c r="C195" s="1933" t="s">
        <v>424</v>
      </c>
      <c r="E195" s="1933" t="s">
        <v>4</v>
      </c>
      <c r="F195" s="1933" t="s">
        <v>1754</v>
      </c>
      <c r="G195" s="1934">
        <f>Summary!E128</f>
        <v>0</v>
      </c>
      <c r="J195" s="1933"/>
      <c r="K195" s="1933"/>
      <c r="L195" s="1933"/>
      <c r="M195" s="1933"/>
      <c r="N195" s="1933"/>
      <c r="O195" s="1933"/>
      <c r="P195" s="1933"/>
      <c r="Q195" s="1933"/>
      <c r="R195" s="1933"/>
      <c r="S195" s="1933"/>
      <c r="T195" s="1933"/>
      <c r="U195" s="1933"/>
      <c r="V195" s="1933"/>
      <c r="W195" s="1933"/>
      <c r="X195" s="1933"/>
      <c r="Y195" s="1933"/>
      <c r="Z195" s="1933"/>
    </row>
    <row r="196" spans="1:26" ht="12" x14ac:dyDescent="0.2">
      <c r="A196" s="1933" t="str">
        <f>MID(Summary!$B$1,FIND(" ",Summary!$B$1,1)+1,4)</f>
        <v>2006</v>
      </c>
      <c r="B196" s="1933" t="s">
        <v>344</v>
      </c>
      <c r="C196" s="1933" t="s">
        <v>424</v>
      </c>
      <c r="E196" s="1933" t="s">
        <v>1760</v>
      </c>
      <c r="F196" s="1933" t="s">
        <v>1754</v>
      </c>
      <c r="G196" s="1934">
        <f>Summary!E129</f>
        <v>0</v>
      </c>
      <c r="J196" s="1933"/>
      <c r="K196" s="1933"/>
      <c r="L196" s="1933"/>
      <c r="M196" s="1933"/>
      <c r="N196" s="1933"/>
      <c r="O196" s="1933"/>
      <c r="P196" s="1933"/>
      <c r="Q196" s="1933"/>
      <c r="R196" s="1933"/>
      <c r="S196" s="1933"/>
      <c r="T196" s="1933"/>
      <c r="U196" s="1933"/>
      <c r="V196" s="1933"/>
      <c r="W196" s="1933"/>
      <c r="X196" s="1933"/>
      <c r="Y196" s="1933"/>
      <c r="Z196" s="1933"/>
    </row>
    <row r="197" spans="1:26" ht="12" x14ac:dyDescent="0.2">
      <c r="A197" s="1933" t="str">
        <f>MID(Summary!$B$1,FIND(" ",Summary!$B$1,1)+1,4)</f>
        <v>2006</v>
      </c>
      <c r="B197" s="1933" t="s">
        <v>344</v>
      </c>
      <c r="C197" s="1933" t="s">
        <v>346</v>
      </c>
      <c r="E197" s="1933" t="s">
        <v>3</v>
      </c>
      <c r="F197" s="1933" t="s">
        <v>1756</v>
      </c>
      <c r="G197" s="1934">
        <f>Summary!D95</f>
        <v>1.4832417277099998</v>
      </c>
      <c r="H197" s="1933"/>
      <c r="I197" s="1933"/>
      <c r="J197" s="1933"/>
      <c r="K197" s="1933"/>
      <c r="L197" s="1933"/>
      <c r="M197" s="1933"/>
      <c r="N197" s="1933"/>
      <c r="O197" s="1933"/>
      <c r="P197" s="1933"/>
      <c r="Q197" s="1933"/>
      <c r="R197" s="1933"/>
      <c r="S197" s="1933"/>
      <c r="T197" s="1933"/>
      <c r="U197" s="1933"/>
      <c r="V197" s="1933"/>
      <c r="W197" s="1933"/>
      <c r="X197" s="1933"/>
      <c r="Y197" s="1933"/>
      <c r="Z197" s="1933"/>
    </row>
    <row r="198" spans="1:26" ht="12" x14ac:dyDescent="0.2">
      <c r="A198" s="1933" t="str">
        <f>MID(Summary!$B$1,FIND(" ",Summary!$B$1,1)+1,4)</f>
        <v>2006</v>
      </c>
      <c r="B198" s="1933" t="s">
        <v>344</v>
      </c>
      <c r="C198" s="1933" t="s">
        <v>346</v>
      </c>
      <c r="E198" s="1933" t="s">
        <v>4</v>
      </c>
      <c r="F198" s="1933" t="s">
        <v>1756</v>
      </c>
      <c r="G198" s="1934">
        <f>Summary!D96</f>
        <v>0</v>
      </c>
      <c r="H198" s="1933"/>
      <c r="I198" s="1933"/>
      <c r="J198" s="1933"/>
      <c r="K198" s="1933"/>
      <c r="L198" s="1933"/>
      <c r="M198" s="1933"/>
      <c r="N198" s="1933"/>
      <c r="O198" s="1933"/>
      <c r="P198" s="1933"/>
      <c r="Q198" s="1933"/>
      <c r="R198" s="1933"/>
      <c r="S198" s="1933"/>
      <c r="T198" s="1933"/>
      <c r="U198" s="1933"/>
      <c r="V198" s="1933"/>
      <c r="W198" s="1933"/>
      <c r="X198" s="1933"/>
      <c r="Y198" s="1933"/>
      <c r="Z198" s="1933"/>
    </row>
    <row r="199" spans="1:26" ht="12" x14ac:dyDescent="0.2">
      <c r="A199" s="1933" t="str">
        <f>MID(Summary!$B$1,FIND(" ",Summary!$B$1,1)+1,4)</f>
        <v>2006</v>
      </c>
      <c r="B199" s="1933" t="s">
        <v>344</v>
      </c>
      <c r="C199" s="1933" t="s">
        <v>346</v>
      </c>
      <c r="E199" s="1933" t="s">
        <v>5</v>
      </c>
      <c r="F199" s="1933" t="s">
        <v>1756</v>
      </c>
      <c r="G199" s="1934">
        <f>Summary!D97</f>
        <v>0</v>
      </c>
      <c r="H199" s="1933"/>
      <c r="I199" s="1933"/>
      <c r="J199" s="1933"/>
      <c r="K199" s="1933"/>
      <c r="L199" s="1933"/>
      <c r="M199" s="1933"/>
      <c r="N199" s="1933"/>
      <c r="O199" s="1933"/>
      <c r="P199" s="1933"/>
      <c r="Q199" s="1933"/>
      <c r="R199" s="1933"/>
      <c r="S199" s="1933"/>
      <c r="T199" s="1933"/>
      <c r="U199" s="1933"/>
      <c r="V199" s="1933"/>
      <c r="W199" s="1933"/>
      <c r="X199" s="1933"/>
      <c r="Y199" s="1933"/>
      <c r="Z199" s="1933"/>
    </row>
    <row r="200" spans="1:26" ht="12" x14ac:dyDescent="0.2">
      <c r="A200" s="1933" t="str">
        <f>MID(Summary!$B$1,FIND(" ",Summary!$B$1,1)+1,4)</f>
        <v>2006</v>
      </c>
      <c r="B200" s="1933" t="s">
        <v>344</v>
      </c>
      <c r="C200" s="1933" t="s">
        <v>361</v>
      </c>
      <c r="E200" s="1933" t="s">
        <v>3</v>
      </c>
      <c r="F200" s="1933" t="s">
        <v>1756</v>
      </c>
      <c r="G200" s="1934">
        <f>Summary!D99</f>
        <v>0.11394119158533558</v>
      </c>
      <c r="H200" s="1933"/>
      <c r="I200" s="1933"/>
      <c r="J200" s="1933"/>
      <c r="K200" s="1933"/>
      <c r="L200" s="1933"/>
      <c r="M200" s="1933"/>
      <c r="N200" s="1933"/>
      <c r="O200" s="1933"/>
      <c r="P200" s="1933"/>
      <c r="Q200" s="1933"/>
      <c r="R200" s="1933"/>
      <c r="S200" s="1933"/>
      <c r="T200" s="1933"/>
      <c r="U200" s="1933"/>
      <c r="V200" s="1933"/>
      <c r="W200" s="1933"/>
      <c r="X200" s="1933"/>
      <c r="Y200" s="1933"/>
      <c r="Z200" s="1933"/>
    </row>
    <row r="201" spans="1:26" ht="12" x14ac:dyDescent="0.2">
      <c r="A201" s="1933" t="str">
        <f>MID(Summary!$B$1,FIND(" ",Summary!$B$1,1)+1,4)</f>
        <v>2006</v>
      </c>
      <c r="B201" s="1933" t="s">
        <v>344</v>
      </c>
      <c r="C201" s="1933" t="s">
        <v>361</v>
      </c>
      <c r="E201" s="1933" t="s">
        <v>4</v>
      </c>
      <c r="F201" s="1933" t="s">
        <v>1756</v>
      </c>
      <c r="G201" s="1934">
        <f>Summary!D100</f>
        <v>0</v>
      </c>
      <c r="H201" s="1933"/>
      <c r="I201" s="1933"/>
      <c r="J201" s="1933"/>
      <c r="K201" s="1933"/>
      <c r="L201" s="1933"/>
      <c r="M201" s="1933"/>
      <c r="N201" s="1933"/>
      <c r="O201" s="1933"/>
      <c r="P201" s="1933"/>
      <c r="Q201" s="1933"/>
      <c r="R201" s="1933"/>
      <c r="S201" s="1933"/>
      <c r="T201" s="1933"/>
      <c r="U201" s="1933"/>
      <c r="V201" s="1933"/>
      <c r="W201" s="1933"/>
      <c r="X201" s="1933"/>
      <c r="Y201" s="1933"/>
      <c r="Z201" s="1933"/>
    </row>
    <row r="202" spans="1:26" ht="12" x14ac:dyDescent="0.2">
      <c r="A202" s="1933" t="str">
        <f>MID(Summary!$B$1,FIND(" ",Summary!$B$1,1)+1,4)</f>
        <v>2006</v>
      </c>
      <c r="B202" s="1933" t="s">
        <v>344</v>
      </c>
      <c r="C202" s="1933" t="s">
        <v>361</v>
      </c>
      <c r="E202" s="1933" t="s">
        <v>5</v>
      </c>
      <c r="F202" s="1933" t="s">
        <v>1756</v>
      </c>
      <c r="G202" s="1934">
        <f>Summary!D101</f>
        <v>0</v>
      </c>
      <c r="H202" s="1933"/>
      <c r="I202" s="1933"/>
      <c r="J202" s="1933"/>
      <c r="K202" s="1933"/>
      <c r="L202" s="1933"/>
      <c r="M202" s="1933"/>
      <c r="N202" s="1933"/>
      <c r="O202" s="1933"/>
      <c r="P202" s="1933"/>
      <c r="Q202" s="1933"/>
      <c r="R202" s="1933"/>
      <c r="S202" s="1933"/>
      <c r="T202" s="1933"/>
      <c r="U202" s="1933"/>
      <c r="V202" s="1933"/>
      <c r="W202" s="1933"/>
      <c r="X202" s="1933"/>
      <c r="Y202" s="1933"/>
      <c r="Z202" s="1933"/>
    </row>
    <row r="203" spans="1:26" ht="12" x14ac:dyDescent="0.2">
      <c r="A203" s="1933" t="str">
        <f>MID(Summary!$B$1,FIND(" ",Summary!$B$1,1)+1,4)</f>
        <v>2006</v>
      </c>
      <c r="B203" s="1933" t="s">
        <v>344</v>
      </c>
      <c r="C203" s="1933" t="s">
        <v>379</v>
      </c>
      <c r="E203" s="1933" t="s">
        <v>3</v>
      </c>
      <c r="F203" s="1933" t="s">
        <v>1756</v>
      </c>
      <c r="G203" s="1934">
        <f>Summary!D103</f>
        <v>4.7611020076877966E-2</v>
      </c>
      <c r="H203" s="1933"/>
      <c r="I203" s="1933"/>
      <c r="J203" s="1933"/>
      <c r="K203" s="1933"/>
      <c r="L203" s="1933"/>
      <c r="M203" s="1933"/>
      <c r="N203" s="1933"/>
      <c r="O203" s="1933"/>
      <c r="P203" s="1933"/>
      <c r="Q203" s="1933"/>
      <c r="R203" s="1933"/>
      <c r="S203" s="1933"/>
      <c r="T203" s="1933"/>
      <c r="U203" s="1933"/>
      <c r="V203" s="1933"/>
      <c r="W203" s="1933"/>
      <c r="X203" s="1933"/>
      <c r="Y203" s="1933"/>
      <c r="Z203" s="1933"/>
    </row>
    <row r="204" spans="1:26" ht="12" x14ac:dyDescent="0.2">
      <c r="A204" s="1933" t="str">
        <f>MID(Summary!$B$1,FIND(" ",Summary!$B$1,1)+1,4)</f>
        <v>2006</v>
      </c>
      <c r="B204" s="1933" t="s">
        <v>344</v>
      </c>
      <c r="C204" s="1933" t="s">
        <v>379</v>
      </c>
      <c r="E204" s="1933" t="s">
        <v>4</v>
      </c>
      <c r="F204" s="1933" t="s">
        <v>1756</v>
      </c>
      <c r="G204" s="1934">
        <f>Summary!D104</f>
        <v>0</v>
      </c>
      <c r="H204" s="1933"/>
      <c r="I204" s="1933"/>
      <c r="J204" s="1933"/>
      <c r="K204" s="1933"/>
      <c r="L204" s="1933"/>
      <c r="M204" s="1933"/>
      <c r="N204" s="1933"/>
      <c r="O204" s="1933"/>
      <c r="P204" s="1933"/>
      <c r="Q204" s="1933"/>
      <c r="R204" s="1933"/>
      <c r="S204" s="1933"/>
      <c r="T204" s="1933"/>
      <c r="U204" s="1933"/>
      <c r="V204" s="1933"/>
      <c r="W204" s="1933"/>
      <c r="X204" s="1933"/>
      <c r="Y204" s="1933"/>
      <c r="Z204" s="1933"/>
    </row>
    <row r="205" spans="1:26" ht="12" x14ac:dyDescent="0.2">
      <c r="A205" s="1933" t="str">
        <f>MID(Summary!$B$1,FIND(" ",Summary!$B$1,1)+1,4)</f>
        <v>2006</v>
      </c>
      <c r="B205" s="1933" t="s">
        <v>344</v>
      </c>
      <c r="C205" s="1933" t="s">
        <v>379</v>
      </c>
      <c r="E205" s="1933" t="s">
        <v>5</v>
      </c>
      <c r="F205" s="1933" t="s">
        <v>1756</v>
      </c>
      <c r="G205" s="1934">
        <f>Summary!D105</f>
        <v>0</v>
      </c>
      <c r="H205" s="1933"/>
      <c r="I205" s="1933"/>
      <c r="J205" s="1933"/>
      <c r="K205" s="1933"/>
      <c r="L205" s="1933"/>
      <c r="M205" s="1933"/>
      <c r="N205" s="1933"/>
      <c r="O205" s="1933"/>
      <c r="P205" s="1933"/>
      <c r="Q205" s="1933"/>
      <c r="R205" s="1933"/>
      <c r="S205" s="1933"/>
      <c r="T205" s="1933"/>
      <c r="U205" s="1933"/>
      <c r="V205" s="1933"/>
      <c r="W205" s="1933"/>
      <c r="X205" s="1933"/>
      <c r="Y205" s="1933"/>
      <c r="Z205" s="1933"/>
    </row>
    <row r="206" spans="1:26" ht="12" x14ac:dyDescent="0.2">
      <c r="A206" s="1933" t="str">
        <f>MID(Summary!$B$1,FIND(" ",Summary!$B$1,1)+1,4)</f>
        <v>2006</v>
      </c>
      <c r="B206" s="1933" t="s">
        <v>344</v>
      </c>
      <c r="C206" s="1933" t="s">
        <v>390</v>
      </c>
      <c r="E206" s="1933" t="s">
        <v>3</v>
      </c>
      <c r="F206" s="1933" t="s">
        <v>1756</v>
      </c>
      <c r="G206" s="1934">
        <f>Summary!D107</f>
        <v>3.5971163869434326</v>
      </c>
      <c r="H206" s="1933"/>
      <c r="I206" s="1933"/>
      <c r="J206" s="1933"/>
      <c r="K206" s="1933"/>
      <c r="L206" s="1933"/>
      <c r="M206" s="1933"/>
      <c r="N206" s="1933"/>
      <c r="O206" s="1933"/>
      <c r="P206" s="1933"/>
      <c r="Q206" s="1933"/>
      <c r="R206" s="1933"/>
      <c r="S206" s="1933"/>
      <c r="T206" s="1933"/>
      <c r="U206" s="1933"/>
      <c r="V206" s="1933"/>
      <c r="W206" s="1933"/>
      <c r="X206" s="1933"/>
      <c r="Y206" s="1933"/>
      <c r="Z206" s="1933"/>
    </row>
    <row r="207" spans="1:26" ht="12" x14ac:dyDescent="0.2">
      <c r="A207" s="1933" t="str">
        <f>MID(Summary!$B$1,FIND(" ",Summary!$B$1,1)+1,4)</f>
        <v>2006</v>
      </c>
      <c r="B207" s="1933" t="s">
        <v>344</v>
      </c>
      <c r="C207" s="1933" t="s">
        <v>390</v>
      </c>
      <c r="E207" s="1933" t="s">
        <v>4</v>
      </c>
      <c r="F207" s="1933" t="s">
        <v>1756</v>
      </c>
      <c r="G207" s="1934">
        <f>Summary!D108</f>
        <v>0</v>
      </c>
      <c r="H207" s="1933"/>
      <c r="I207" s="1933"/>
      <c r="J207" s="1933"/>
      <c r="K207" s="1933"/>
      <c r="L207" s="1933"/>
      <c r="M207" s="1933"/>
      <c r="N207" s="1933"/>
      <c r="O207" s="1933"/>
      <c r="P207" s="1933"/>
      <c r="Q207" s="1933"/>
      <c r="R207" s="1933"/>
      <c r="S207" s="1933"/>
      <c r="T207" s="1933"/>
      <c r="U207" s="1933"/>
      <c r="V207" s="1933"/>
      <c r="W207" s="1933"/>
      <c r="X207" s="1933"/>
      <c r="Y207" s="1933"/>
      <c r="Z207" s="1933"/>
    </row>
    <row r="208" spans="1:26" ht="12" x14ac:dyDescent="0.2">
      <c r="A208" s="1933" t="str">
        <f>MID(Summary!$B$1,FIND(" ",Summary!$B$1,1)+1,4)</f>
        <v>2006</v>
      </c>
      <c r="B208" s="1933" t="s">
        <v>344</v>
      </c>
      <c r="C208" s="1933" t="s">
        <v>390</v>
      </c>
      <c r="E208" s="1933" t="s">
        <v>5</v>
      </c>
      <c r="F208" s="1933" t="s">
        <v>1756</v>
      </c>
      <c r="G208" s="1934">
        <f>Summary!D109</f>
        <v>0</v>
      </c>
      <c r="H208" s="1933"/>
      <c r="I208" s="1933"/>
      <c r="J208" s="1933"/>
      <c r="K208" s="1933"/>
      <c r="L208" s="1933"/>
      <c r="M208" s="1933"/>
      <c r="N208" s="1933"/>
      <c r="O208" s="1933"/>
      <c r="P208" s="1933"/>
      <c r="Q208" s="1933"/>
      <c r="R208" s="1933"/>
      <c r="S208" s="1933"/>
      <c r="T208" s="1933"/>
      <c r="U208" s="1933"/>
      <c r="V208" s="1933"/>
      <c r="W208" s="1933"/>
      <c r="X208" s="1933"/>
      <c r="Y208" s="1933"/>
      <c r="Z208" s="1933"/>
    </row>
    <row r="209" spans="1:26" ht="12" x14ac:dyDescent="0.2">
      <c r="A209" s="1933" t="str">
        <f>MID(Summary!$B$1,FIND(" ",Summary!$B$1,1)+1,4)</f>
        <v>2006</v>
      </c>
      <c r="B209" s="1933" t="s">
        <v>344</v>
      </c>
      <c r="C209" s="1933" t="s">
        <v>396</v>
      </c>
      <c r="E209" s="1933" t="s">
        <v>3</v>
      </c>
      <c r="F209" s="1933" t="s">
        <v>1756</v>
      </c>
      <c r="G209" s="1934">
        <f>Summary!D111</f>
        <v>0</v>
      </c>
      <c r="H209" s="1933"/>
      <c r="I209" s="1933"/>
      <c r="J209" s="1933"/>
      <c r="K209" s="1933"/>
      <c r="L209" s="1933"/>
      <c r="M209" s="1933"/>
      <c r="N209" s="1933"/>
      <c r="O209" s="1933"/>
      <c r="P209" s="1933"/>
      <c r="Q209" s="1933"/>
      <c r="R209" s="1933"/>
      <c r="S209" s="1933"/>
      <c r="T209" s="1933"/>
      <c r="U209" s="1933"/>
      <c r="V209" s="1933"/>
      <c r="W209" s="1933"/>
      <c r="X209" s="1933"/>
      <c r="Y209" s="1933"/>
      <c r="Z209" s="1933"/>
    </row>
    <row r="210" spans="1:26" ht="12" x14ac:dyDescent="0.2">
      <c r="A210" s="1933" t="str">
        <f>MID(Summary!$B$1,FIND(" ",Summary!$B$1,1)+1,4)</f>
        <v>2006</v>
      </c>
      <c r="B210" s="1933" t="s">
        <v>344</v>
      </c>
      <c r="C210" s="1933" t="s">
        <v>396</v>
      </c>
      <c r="E210" s="1933" t="s">
        <v>4</v>
      </c>
      <c r="F210" s="1933" t="s">
        <v>1756</v>
      </c>
      <c r="G210" s="1934">
        <f>Summary!D112</f>
        <v>0</v>
      </c>
      <c r="H210" s="1933"/>
      <c r="I210" s="1933"/>
      <c r="J210" s="1933"/>
      <c r="K210" s="1933"/>
      <c r="L210" s="1933"/>
      <c r="M210" s="1933"/>
      <c r="N210" s="1933"/>
      <c r="O210" s="1933"/>
      <c r="P210" s="1933"/>
      <c r="Q210" s="1933"/>
      <c r="R210" s="1933"/>
      <c r="S210" s="1933"/>
      <c r="T210" s="1933"/>
      <c r="U210" s="1933"/>
      <c r="V210" s="1933"/>
      <c r="W210" s="1933"/>
      <c r="X210" s="1933"/>
      <c r="Y210" s="1933"/>
      <c r="Z210" s="1933"/>
    </row>
    <row r="211" spans="1:26" ht="12" x14ac:dyDescent="0.2">
      <c r="A211" s="1933" t="str">
        <f>MID(Summary!$B$1,FIND(" ",Summary!$B$1,1)+1,4)</f>
        <v>2006</v>
      </c>
      <c r="B211" s="1933" t="s">
        <v>344</v>
      </c>
      <c r="C211" s="1933" t="s">
        <v>396</v>
      </c>
      <c r="E211" s="1933" t="s">
        <v>1760</v>
      </c>
      <c r="F211" s="1933" t="s">
        <v>1756</v>
      </c>
      <c r="G211" s="1934">
        <f>Summary!D113</f>
        <v>5.2064844121172795</v>
      </c>
      <c r="H211" s="1933"/>
      <c r="I211" s="1933"/>
      <c r="J211" s="1933"/>
      <c r="K211" s="1933"/>
      <c r="L211" s="1933"/>
      <c r="M211" s="1933"/>
      <c r="N211" s="1933"/>
      <c r="O211" s="1933"/>
      <c r="P211" s="1933"/>
      <c r="Q211" s="1933"/>
      <c r="R211" s="1933"/>
      <c r="S211" s="1933"/>
      <c r="T211" s="1933"/>
      <c r="U211" s="1933"/>
      <c r="V211" s="1933"/>
      <c r="W211" s="1933"/>
      <c r="X211" s="1933"/>
      <c r="Y211" s="1933"/>
      <c r="Z211" s="1933"/>
    </row>
    <row r="212" spans="1:26" ht="12" x14ac:dyDescent="0.2">
      <c r="A212" s="1933" t="str">
        <f>MID(Summary!$B$1,FIND(" ",Summary!$B$1,1)+1,4)</f>
        <v>2006</v>
      </c>
      <c r="B212" s="1933" t="s">
        <v>344</v>
      </c>
      <c r="C212" s="1933" t="s">
        <v>404</v>
      </c>
      <c r="E212" s="1933" t="s">
        <v>3</v>
      </c>
      <c r="F212" s="1933" t="s">
        <v>1756</v>
      </c>
      <c r="G212" s="1934">
        <f>Summary!D115</f>
        <v>0</v>
      </c>
      <c r="H212" s="1933"/>
      <c r="I212" s="1933"/>
      <c r="J212" s="1933"/>
      <c r="K212" s="1933"/>
      <c r="L212" s="1933"/>
      <c r="M212" s="1933"/>
      <c r="N212" s="1933"/>
      <c r="O212" s="1933"/>
      <c r="P212" s="1933"/>
      <c r="Q212" s="1933"/>
      <c r="R212" s="1933"/>
      <c r="S212" s="1933"/>
      <c r="T212" s="1933"/>
      <c r="U212" s="1933"/>
      <c r="V212" s="1933"/>
      <c r="W212" s="1933"/>
      <c r="X212" s="1933"/>
      <c r="Y212" s="1933"/>
      <c r="Z212" s="1933"/>
    </row>
    <row r="213" spans="1:26" ht="12" x14ac:dyDescent="0.2">
      <c r="A213" s="1933" t="str">
        <f>MID(Summary!$B$1,FIND(" ",Summary!$B$1,1)+1,4)</f>
        <v>2006</v>
      </c>
      <c r="B213" s="1933" t="s">
        <v>344</v>
      </c>
      <c r="C213" s="1933" t="s">
        <v>404</v>
      </c>
      <c r="E213" s="1933" t="s">
        <v>4</v>
      </c>
      <c r="F213" s="1933" t="s">
        <v>1756</v>
      </c>
      <c r="G213" s="1934">
        <f>Summary!D116</f>
        <v>0</v>
      </c>
      <c r="H213" s="1933"/>
      <c r="I213" s="1933"/>
      <c r="J213" s="1933"/>
      <c r="K213" s="1933"/>
      <c r="L213" s="1933"/>
      <c r="M213" s="1933"/>
      <c r="N213" s="1933"/>
      <c r="O213" s="1933"/>
      <c r="P213" s="1933"/>
      <c r="Q213" s="1933"/>
      <c r="R213" s="1933"/>
      <c r="S213" s="1933"/>
      <c r="T213" s="1933"/>
      <c r="U213" s="1933"/>
      <c r="V213" s="1933"/>
      <c r="W213" s="1933"/>
      <c r="X213" s="1933"/>
      <c r="Y213" s="1933"/>
      <c r="Z213" s="1933"/>
    </row>
    <row r="214" spans="1:26" ht="12" x14ac:dyDescent="0.2">
      <c r="A214" s="1933" t="str">
        <f>MID(Summary!$B$1,FIND(" ",Summary!$B$1,1)+1,4)</f>
        <v>2006</v>
      </c>
      <c r="B214" s="1933" t="s">
        <v>344</v>
      </c>
      <c r="C214" s="1933" t="s">
        <v>404</v>
      </c>
      <c r="E214" s="1933" t="s">
        <v>1760</v>
      </c>
      <c r="F214" s="1933" t="s">
        <v>1756</v>
      </c>
      <c r="G214" s="1934">
        <f>Summary!D117</f>
        <v>0.17303142493122073</v>
      </c>
      <c r="H214" s="1933"/>
      <c r="I214" s="1933"/>
      <c r="J214" s="1933"/>
      <c r="K214" s="1933"/>
      <c r="L214" s="1933"/>
      <c r="M214" s="1933"/>
      <c r="N214" s="1933"/>
      <c r="O214" s="1933"/>
      <c r="P214" s="1933"/>
      <c r="Q214" s="1933"/>
      <c r="R214" s="1933"/>
      <c r="S214" s="1933"/>
      <c r="T214" s="1933"/>
      <c r="U214" s="1933"/>
      <c r="V214" s="1933"/>
      <c r="W214" s="1933"/>
      <c r="X214" s="1933"/>
      <c r="Y214" s="1933"/>
      <c r="Z214" s="1933"/>
    </row>
    <row r="215" spans="1:26" ht="12" x14ac:dyDescent="0.2">
      <c r="A215" s="1933" t="str">
        <f>MID(Summary!$B$1,FIND(" ",Summary!$B$1,1)+1,4)</f>
        <v>2006</v>
      </c>
      <c r="B215" s="1933" t="s">
        <v>344</v>
      </c>
      <c r="C215" s="1933" t="s">
        <v>410</v>
      </c>
      <c r="E215" s="1933" t="s">
        <v>3</v>
      </c>
      <c r="F215" s="1933" t="s">
        <v>1756</v>
      </c>
      <c r="G215" s="1934">
        <f>Summary!D119</f>
        <v>0</v>
      </c>
      <c r="H215" s="1933"/>
      <c r="I215" s="1933"/>
      <c r="J215" s="1933"/>
      <c r="K215" s="1933"/>
      <c r="L215" s="1933"/>
      <c r="M215" s="1933"/>
      <c r="N215" s="1933"/>
      <c r="O215" s="1933"/>
      <c r="P215" s="1933"/>
      <c r="Q215" s="1933"/>
      <c r="R215" s="1933"/>
      <c r="S215" s="1933"/>
      <c r="T215" s="1933"/>
      <c r="U215" s="1933"/>
      <c r="V215" s="1933"/>
      <c r="W215" s="1933"/>
      <c r="X215" s="1933"/>
      <c r="Y215" s="1933"/>
      <c r="Z215" s="1933"/>
    </row>
    <row r="216" spans="1:26" ht="12" x14ac:dyDescent="0.2">
      <c r="A216" s="1933" t="str">
        <f>MID(Summary!$B$1,FIND(" ",Summary!$B$1,1)+1,4)</f>
        <v>2006</v>
      </c>
      <c r="B216" s="1933" t="s">
        <v>344</v>
      </c>
      <c r="C216" s="1933" t="s">
        <v>410</v>
      </c>
      <c r="E216" s="1933" t="s">
        <v>4</v>
      </c>
      <c r="F216" s="1933" t="s">
        <v>1756</v>
      </c>
      <c r="G216" s="1934">
        <f>Summary!D120</f>
        <v>0</v>
      </c>
      <c r="H216" s="1933"/>
      <c r="I216" s="1933"/>
      <c r="J216" s="1933"/>
      <c r="K216" s="1933"/>
      <c r="L216" s="1933"/>
      <c r="M216" s="1933"/>
      <c r="N216" s="1933"/>
      <c r="O216" s="1933"/>
      <c r="P216" s="1933"/>
      <c r="Q216" s="1933"/>
      <c r="R216" s="1933"/>
      <c r="S216" s="1933"/>
      <c r="T216" s="1933"/>
      <c r="U216" s="1933"/>
      <c r="V216" s="1933"/>
      <c r="W216" s="1933"/>
      <c r="X216" s="1933"/>
      <c r="Y216" s="1933"/>
      <c r="Z216" s="1933"/>
    </row>
    <row r="217" spans="1:26" ht="12" x14ac:dyDescent="0.2">
      <c r="A217" s="1933" t="str">
        <f>MID(Summary!$B$1,FIND(" ",Summary!$B$1,1)+1,4)</f>
        <v>2006</v>
      </c>
      <c r="B217" s="1933" t="s">
        <v>344</v>
      </c>
      <c r="C217" s="1933" t="s">
        <v>410</v>
      </c>
      <c r="E217" s="1933" t="s">
        <v>1760</v>
      </c>
      <c r="F217" s="1933" t="s">
        <v>1756</v>
      </c>
      <c r="G217" s="1934">
        <f>Summary!D121</f>
        <v>0</v>
      </c>
      <c r="H217" s="1933"/>
      <c r="I217" s="1933"/>
      <c r="J217" s="1933"/>
      <c r="K217" s="1933"/>
      <c r="L217" s="1933"/>
      <c r="M217" s="1933"/>
      <c r="N217" s="1933"/>
      <c r="O217" s="1933"/>
      <c r="P217" s="1933"/>
      <c r="Q217" s="1933"/>
      <c r="R217" s="1933"/>
      <c r="S217" s="1933"/>
      <c r="T217" s="1933"/>
      <c r="U217" s="1933"/>
      <c r="V217" s="1933"/>
      <c r="W217" s="1933"/>
      <c r="X217" s="1933"/>
      <c r="Y217" s="1933"/>
      <c r="Z217" s="1933"/>
    </row>
    <row r="218" spans="1:26" ht="12" x14ac:dyDescent="0.2">
      <c r="A218" s="1933" t="str">
        <f>MID(Summary!$B$1,FIND(" ",Summary!$B$1,1)+1,4)</f>
        <v>2006</v>
      </c>
      <c r="B218" s="1933" t="s">
        <v>344</v>
      </c>
      <c r="C218" s="1933" t="s">
        <v>1744</v>
      </c>
      <c r="E218" s="1933" t="s">
        <v>3</v>
      </c>
      <c r="F218" s="1933" t="s">
        <v>1756</v>
      </c>
      <c r="G218" s="1934">
        <f>Summary!D123</f>
        <v>6.2698079697975711E-4</v>
      </c>
      <c r="H218" s="1933"/>
      <c r="I218" s="1933"/>
      <c r="J218" s="1933"/>
      <c r="K218" s="1933"/>
      <c r="L218" s="1933"/>
      <c r="M218" s="1933"/>
      <c r="N218" s="1933"/>
      <c r="O218" s="1933"/>
      <c r="P218" s="1933"/>
      <c r="Q218" s="1933"/>
      <c r="R218" s="1933"/>
      <c r="S218" s="1933"/>
      <c r="T218" s="1933"/>
      <c r="U218" s="1933"/>
      <c r="V218" s="1933"/>
      <c r="W218" s="1933"/>
      <c r="X218" s="1933"/>
      <c r="Y218" s="1933"/>
      <c r="Z218" s="1933"/>
    </row>
    <row r="219" spans="1:26" ht="12" x14ac:dyDescent="0.2">
      <c r="A219" s="1933" t="str">
        <f>MID(Summary!$B$1,FIND(" ",Summary!$B$1,1)+1,4)</f>
        <v>2006</v>
      </c>
      <c r="B219" s="1933" t="s">
        <v>344</v>
      </c>
      <c r="C219" s="1933" t="s">
        <v>1744</v>
      </c>
      <c r="E219" s="1933" t="s">
        <v>4</v>
      </c>
      <c r="F219" s="1933" t="s">
        <v>1756</v>
      </c>
      <c r="G219" s="1934">
        <f>Summary!D124</f>
        <v>0</v>
      </c>
      <c r="H219" s="1933"/>
      <c r="I219" s="1933"/>
      <c r="J219" s="1933"/>
      <c r="K219" s="1933"/>
      <c r="L219" s="1933"/>
      <c r="M219" s="1933"/>
      <c r="N219" s="1933"/>
      <c r="O219" s="1933"/>
      <c r="P219" s="1933"/>
      <c r="Q219" s="1933"/>
      <c r="R219" s="1933"/>
      <c r="S219" s="1933"/>
      <c r="T219" s="1933"/>
      <c r="U219" s="1933"/>
      <c r="V219" s="1933"/>
      <c r="W219" s="1933"/>
      <c r="X219" s="1933"/>
      <c r="Y219" s="1933"/>
      <c r="Z219" s="1933"/>
    </row>
    <row r="220" spans="1:26" ht="12" x14ac:dyDescent="0.2">
      <c r="A220" s="1933" t="str">
        <f>MID(Summary!$B$1,FIND(" ",Summary!$B$1,1)+1,4)</f>
        <v>2006</v>
      </c>
      <c r="B220" s="1933" t="s">
        <v>344</v>
      </c>
      <c r="C220" s="1933" t="s">
        <v>1744</v>
      </c>
      <c r="E220" s="1933" t="s">
        <v>1760</v>
      </c>
      <c r="F220" s="1933" t="s">
        <v>1756</v>
      </c>
      <c r="G220" s="1934">
        <f>Summary!D125</f>
        <v>0</v>
      </c>
      <c r="H220" s="1933"/>
      <c r="I220" s="1933"/>
      <c r="J220" s="1933"/>
      <c r="K220" s="1933"/>
      <c r="L220" s="1933"/>
      <c r="M220" s="1933"/>
      <c r="N220" s="1933"/>
      <c r="O220" s="1933"/>
      <c r="P220" s="1933"/>
      <c r="Q220" s="1933"/>
      <c r="R220" s="1933"/>
      <c r="S220" s="1933"/>
      <c r="T220" s="1933"/>
      <c r="U220" s="1933"/>
      <c r="V220" s="1933"/>
      <c r="W220" s="1933"/>
      <c r="X220" s="1933"/>
      <c r="Y220" s="1933"/>
      <c r="Z220" s="1933"/>
    </row>
    <row r="221" spans="1:26" ht="12" x14ac:dyDescent="0.2">
      <c r="A221" s="1933" t="str">
        <f>MID(Summary!$B$1,FIND(" ",Summary!$B$1,1)+1,4)</f>
        <v>2006</v>
      </c>
      <c r="B221" s="1933" t="s">
        <v>344</v>
      </c>
      <c r="C221" s="1933" t="s">
        <v>424</v>
      </c>
      <c r="E221" s="1933" t="s">
        <v>3</v>
      </c>
      <c r="F221" s="1933" t="s">
        <v>1756</v>
      </c>
      <c r="G221" s="1934">
        <f>Summary!D127</f>
        <v>0</v>
      </c>
      <c r="H221" s="1933"/>
      <c r="I221" s="1933"/>
      <c r="J221" s="1933"/>
      <c r="K221" s="1933"/>
      <c r="L221" s="1933"/>
      <c r="M221" s="1933"/>
      <c r="N221" s="1933"/>
      <c r="O221" s="1933"/>
      <c r="P221" s="1933"/>
      <c r="Q221" s="1933"/>
      <c r="R221" s="1933"/>
      <c r="S221" s="1933"/>
      <c r="T221" s="1933"/>
      <c r="U221" s="1933"/>
      <c r="V221" s="1933"/>
      <c r="W221" s="1933"/>
      <c r="X221" s="1933"/>
      <c r="Y221" s="1933"/>
      <c r="Z221" s="1933"/>
    </row>
    <row r="222" spans="1:26" ht="12" x14ac:dyDescent="0.2">
      <c r="A222" s="1933" t="str">
        <f>MID(Summary!$B$1,FIND(" ",Summary!$B$1,1)+1,4)</f>
        <v>2006</v>
      </c>
      <c r="B222" s="1933" t="s">
        <v>344</v>
      </c>
      <c r="C222" s="1933" t="s">
        <v>424</v>
      </c>
      <c r="E222" s="1933" t="s">
        <v>4</v>
      </c>
      <c r="F222" s="1933" t="s">
        <v>1756</v>
      </c>
      <c r="G222" s="1934">
        <f>Summary!D128</f>
        <v>0</v>
      </c>
      <c r="H222" s="1933"/>
      <c r="I222" s="1933"/>
      <c r="J222" s="1933"/>
      <c r="K222" s="1933"/>
      <c r="L222" s="1933"/>
      <c r="M222" s="1933"/>
      <c r="N222" s="1933"/>
      <c r="O222" s="1933"/>
      <c r="P222" s="1933"/>
      <c r="Q222" s="1933"/>
      <c r="R222" s="1933"/>
      <c r="S222" s="1933"/>
      <c r="T222" s="1933"/>
      <c r="U222" s="1933"/>
      <c r="V222" s="1933"/>
      <c r="W222" s="1933"/>
      <c r="X222" s="1933"/>
      <c r="Y222" s="1933"/>
      <c r="Z222" s="1933"/>
    </row>
    <row r="223" spans="1:26" ht="12" x14ac:dyDescent="0.2">
      <c r="A223" s="1933" t="str">
        <f>MID(Summary!$B$1,FIND(" ",Summary!$B$1,1)+1,4)</f>
        <v>2006</v>
      </c>
      <c r="B223" s="1933" t="s">
        <v>344</v>
      </c>
      <c r="C223" s="1933" t="s">
        <v>424</v>
      </c>
      <c r="E223" s="1933" t="s">
        <v>1760</v>
      </c>
      <c r="F223" s="1933" t="s">
        <v>1756</v>
      </c>
      <c r="G223" s="1934">
        <f>Summary!D129</f>
        <v>0</v>
      </c>
      <c r="H223" s="1933"/>
      <c r="I223" s="1933"/>
      <c r="J223" s="1933"/>
      <c r="K223" s="1933"/>
      <c r="L223" s="1933"/>
      <c r="M223" s="1933"/>
      <c r="N223" s="1933"/>
      <c r="O223" s="1933"/>
      <c r="P223" s="1933"/>
      <c r="Q223" s="1933"/>
      <c r="R223" s="1933"/>
      <c r="S223" s="1933"/>
      <c r="T223" s="1933"/>
      <c r="U223" s="1933"/>
      <c r="V223" s="1933"/>
      <c r="W223" s="1933"/>
      <c r="X223" s="1933"/>
      <c r="Y223" s="1933"/>
      <c r="Z223" s="1933"/>
    </row>
    <row r="224" spans="1:26" ht="12" x14ac:dyDescent="0.2">
      <c r="A224" s="1933" t="str">
        <f>MID(Summary!$B$1,FIND(" ",Summary!$B$1,1)+1,4)</f>
        <v>2006</v>
      </c>
      <c r="B224" s="1933" t="s">
        <v>432</v>
      </c>
      <c r="C224" s="1933" t="s">
        <v>434</v>
      </c>
      <c r="D224" s="1936"/>
      <c r="E224" s="1933" t="s">
        <v>3</v>
      </c>
      <c r="F224" s="1933" t="s">
        <v>1754</v>
      </c>
      <c r="G224" s="1934">
        <f>Summary!E132</f>
        <v>0</v>
      </c>
      <c r="J224" s="1933"/>
      <c r="K224" s="1933"/>
      <c r="L224" s="1933"/>
      <c r="M224" s="1933"/>
      <c r="N224" s="1933"/>
      <c r="O224" s="1933"/>
      <c r="P224" s="1933"/>
      <c r="Q224" s="1933"/>
      <c r="R224" s="1933"/>
      <c r="S224" s="1933"/>
      <c r="T224" s="1933"/>
      <c r="U224" s="1933"/>
      <c r="V224" s="1933"/>
      <c r="W224" s="1933"/>
      <c r="X224" s="1933"/>
      <c r="Y224" s="1933"/>
      <c r="Z224" s="1933"/>
    </row>
    <row r="225" spans="1:26" ht="12" x14ac:dyDescent="0.2">
      <c r="A225" s="1933" t="str">
        <f>MID(Summary!$B$1,FIND(" ",Summary!$B$1,1)+1,4)</f>
        <v>2006</v>
      </c>
      <c r="B225" s="1933" t="s">
        <v>432</v>
      </c>
      <c r="C225" s="1933" t="s">
        <v>434</v>
      </c>
      <c r="D225" s="1936"/>
      <c r="E225" s="1933" t="s">
        <v>4</v>
      </c>
      <c r="F225" s="1933" t="s">
        <v>1754</v>
      </c>
      <c r="G225" s="1934">
        <f>Summary!E133</f>
        <v>0.55676167779199037</v>
      </c>
      <c r="J225" s="1933"/>
      <c r="K225" s="1933"/>
      <c r="L225" s="1933"/>
      <c r="M225" s="1933"/>
      <c r="N225" s="1933"/>
      <c r="O225" s="1933"/>
      <c r="P225" s="1933"/>
      <c r="Q225" s="1933"/>
      <c r="R225" s="1933"/>
      <c r="S225" s="1933"/>
      <c r="T225" s="1933"/>
      <c r="U225" s="1933"/>
      <c r="V225" s="1933"/>
      <c r="W225" s="1933"/>
      <c r="X225" s="1933"/>
      <c r="Y225" s="1933"/>
      <c r="Z225" s="1933"/>
    </row>
    <row r="226" spans="1:26" ht="12" x14ac:dyDescent="0.2">
      <c r="A226" s="1933" t="str">
        <f>MID(Summary!$B$1,FIND(" ",Summary!$B$1,1)+1,4)</f>
        <v>2006</v>
      </c>
      <c r="B226" s="1933" t="s">
        <v>432</v>
      </c>
      <c r="C226" s="1933" t="s">
        <v>434</v>
      </c>
      <c r="D226" s="1936"/>
      <c r="E226" s="1933" t="s">
        <v>5</v>
      </c>
      <c r="F226" s="1933" t="s">
        <v>1754</v>
      </c>
      <c r="G226" s="1934">
        <f>Summary!E134</f>
        <v>0</v>
      </c>
      <c r="J226" s="1933"/>
      <c r="K226" s="1933"/>
      <c r="L226" s="1933"/>
      <c r="M226" s="1933"/>
      <c r="N226" s="1933"/>
      <c r="O226" s="1933"/>
      <c r="P226" s="1933"/>
      <c r="Q226" s="1933"/>
      <c r="R226" s="1933"/>
      <c r="S226" s="1933"/>
      <c r="T226" s="1933"/>
      <c r="U226" s="1933"/>
      <c r="V226" s="1933"/>
      <c r="W226" s="1933"/>
      <c r="X226" s="1933"/>
      <c r="Y226" s="1933"/>
      <c r="Z226" s="1933"/>
    </row>
    <row r="227" spans="1:26" ht="12" x14ac:dyDescent="0.2">
      <c r="A227" s="1933" t="str">
        <f>MID(Summary!$B$1,FIND(" ",Summary!$B$1,1)+1,4)</f>
        <v>2006</v>
      </c>
      <c r="B227" s="1933" t="s">
        <v>432</v>
      </c>
      <c r="C227" s="1933" t="s">
        <v>440</v>
      </c>
      <c r="D227" s="1936"/>
      <c r="E227" s="1933" t="s">
        <v>3</v>
      </c>
      <c r="F227" s="1933" t="s">
        <v>1754</v>
      </c>
      <c r="G227" s="1934">
        <f>Summary!E136</f>
        <v>0</v>
      </c>
      <c r="J227" s="1933"/>
      <c r="K227" s="1933"/>
      <c r="L227" s="1933"/>
      <c r="M227" s="1933"/>
      <c r="N227" s="1933"/>
      <c r="O227" s="1933"/>
      <c r="P227" s="1933"/>
      <c r="Q227" s="1933"/>
      <c r="R227" s="1933"/>
      <c r="S227" s="1933"/>
      <c r="T227" s="1933"/>
      <c r="U227" s="1933"/>
      <c r="V227" s="1933"/>
      <c r="W227" s="1933"/>
      <c r="X227" s="1933"/>
      <c r="Y227" s="1933"/>
      <c r="Z227" s="1933"/>
    </row>
    <row r="228" spans="1:26" ht="12" x14ac:dyDescent="0.2">
      <c r="A228" s="1933" t="str">
        <f>MID(Summary!$B$1,FIND(" ",Summary!$B$1,1)+1,4)</f>
        <v>2006</v>
      </c>
      <c r="B228" s="1933" t="s">
        <v>432</v>
      </c>
      <c r="C228" s="1933" t="s">
        <v>440</v>
      </c>
      <c r="D228" s="1936"/>
      <c r="E228" s="1933" t="s">
        <v>4</v>
      </c>
      <c r="F228" s="1933" t="s">
        <v>1754</v>
      </c>
      <c r="G228" s="1934">
        <f>Summary!E137</f>
        <v>0.12142323986008002</v>
      </c>
      <c r="J228" s="1933"/>
      <c r="K228" s="1933"/>
      <c r="L228" s="1933"/>
      <c r="M228" s="1933"/>
      <c r="N228" s="1933"/>
      <c r="O228" s="1933"/>
      <c r="P228" s="1933"/>
      <c r="Q228" s="1933"/>
      <c r="R228" s="1933"/>
      <c r="S228" s="1933"/>
      <c r="T228" s="1933"/>
      <c r="U228" s="1933"/>
      <c r="V228" s="1933"/>
      <c r="W228" s="1933"/>
      <c r="X228" s="1933"/>
      <c r="Y228" s="1933"/>
      <c r="Z228" s="1933"/>
    </row>
    <row r="229" spans="1:26" ht="12" x14ac:dyDescent="0.2">
      <c r="A229" s="1933" t="str">
        <f>MID(Summary!$B$1,FIND(" ",Summary!$B$1,1)+1,4)</f>
        <v>2006</v>
      </c>
      <c r="B229" s="1933" t="s">
        <v>432</v>
      </c>
      <c r="C229" s="1933" t="s">
        <v>440</v>
      </c>
      <c r="D229" s="1936"/>
      <c r="E229" s="1933" t="s">
        <v>5</v>
      </c>
      <c r="F229" s="1933" t="s">
        <v>1754</v>
      </c>
      <c r="G229" s="1934">
        <f>Summary!E138</f>
        <v>0.20243332510656292</v>
      </c>
      <c r="J229" s="1933"/>
      <c r="K229" s="1933"/>
      <c r="L229" s="1933"/>
      <c r="M229" s="1933"/>
      <c r="N229" s="1933"/>
      <c r="O229" s="1933"/>
      <c r="P229" s="1933"/>
      <c r="Q229" s="1933"/>
      <c r="R229" s="1933"/>
      <c r="S229" s="1933"/>
      <c r="T229" s="1933"/>
      <c r="U229" s="1933"/>
      <c r="V229" s="1933"/>
      <c r="W229" s="1933"/>
      <c r="X229" s="1933"/>
      <c r="Y229" s="1933"/>
      <c r="Z229" s="1933"/>
    </row>
    <row r="230" spans="1:26" ht="12" x14ac:dyDescent="0.2">
      <c r="A230" s="1933" t="str">
        <f>MID(Summary!$B$1,FIND(" ",Summary!$B$1,1)+1,4)</f>
        <v>2006</v>
      </c>
      <c r="B230" s="1933" t="s">
        <v>432</v>
      </c>
      <c r="C230" s="1933" t="s">
        <v>450</v>
      </c>
      <c r="D230" s="1936"/>
      <c r="E230" s="1933" t="s">
        <v>3</v>
      </c>
      <c r="F230" s="1933" t="s">
        <v>1754</v>
      </c>
      <c r="G230" s="1934">
        <f>Summary!E140</f>
        <v>0</v>
      </c>
      <c r="J230" s="1933"/>
      <c r="K230" s="1933"/>
      <c r="L230" s="1933"/>
      <c r="M230" s="1933"/>
      <c r="N230" s="1933"/>
      <c r="O230" s="1933"/>
      <c r="P230" s="1933"/>
      <c r="Q230" s="1933"/>
      <c r="R230" s="1933"/>
      <c r="S230" s="1933"/>
      <c r="T230" s="1933"/>
      <c r="U230" s="1933"/>
      <c r="V230" s="1933"/>
      <c r="W230" s="1933"/>
      <c r="X230" s="1933"/>
      <c r="Y230" s="1933"/>
      <c r="Z230" s="1933"/>
    </row>
    <row r="231" spans="1:26" ht="12" x14ac:dyDescent="0.2">
      <c r="A231" s="1933" t="str">
        <f>MID(Summary!$B$1,FIND(" ",Summary!$B$1,1)+1,4)</f>
        <v>2006</v>
      </c>
      <c r="B231" s="1933" t="s">
        <v>432</v>
      </c>
      <c r="C231" s="1933" t="s">
        <v>450</v>
      </c>
      <c r="D231" s="1936"/>
      <c r="E231" s="1933" t="s">
        <v>4</v>
      </c>
      <c r="F231" s="1933" t="s">
        <v>1754</v>
      </c>
      <c r="G231" s="1934">
        <f>Summary!E141</f>
        <v>0</v>
      </c>
      <c r="J231" s="1933"/>
      <c r="K231" s="1933"/>
      <c r="L231" s="1933"/>
      <c r="M231" s="1933"/>
      <c r="N231" s="1933"/>
      <c r="O231" s="1933"/>
      <c r="P231" s="1933"/>
      <c r="Q231" s="1933"/>
      <c r="R231" s="1933"/>
      <c r="S231" s="1933"/>
      <c r="T231" s="1933"/>
      <c r="U231" s="1933"/>
      <c r="V231" s="1933"/>
      <c r="W231" s="1933"/>
      <c r="X231" s="1933"/>
      <c r="Y231" s="1933"/>
      <c r="Z231" s="1933"/>
    </row>
    <row r="232" spans="1:26" ht="12" x14ac:dyDescent="0.2">
      <c r="A232" s="1933" t="str">
        <f>MID(Summary!$B$1,FIND(" ",Summary!$B$1,1)+1,4)</f>
        <v>2006</v>
      </c>
      <c r="B232" s="1933" t="s">
        <v>432</v>
      </c>
      <c r="C232" s="1933" t="s">
        <v>450</v>
      </c>
      <c r="D232" s="1936"/>
      <c r="E232" s="1933" t="s">
        <v>5</v>
      </c>
      <c r="F232" s="1933" t="s">
        <v>1754</v>
      </c>
      <c r="G232" s="1934">
        <f>Summary!E142</f>
        <v>0.89797074448265468</v>
      </c>
      <c r="J232" s="1933"/>
      <c r="K232" s="1933"/>
      <c r="L232" s="1933"/>
      <c r="M232" s="1933"/>
      <c r="N232" s="1933"/>
      <c r="O232" s="1933"/>
      <c r="P232" s="1933"/>
      <c r="Q232" s="1933"/>
      <c r="R232" s="1933"/>
      <c r="S232" s="1933"/>
      <c r="T232" s="1933"/>
      <c r="U232" s="1933"/>
      <c r="V232" s="1933"/>
      <c r="W232" s="1933"/>
      <c r="X232" s="1933"/>
      <c r="Y232" s="1933"/>
      <c r="Z232" s="1933"/>
    </row>
    <row r="233" spans="1:26" ht="12" x14ac:dyDescent="0.2">
      <c r="A233" s="1933" t="str">
        <f>MID(Summary!$B$1,FIND(" ",Summary!$B$1,1)+1,4)</f>
        <v>2006</v>
      </c>
      <c r="B233" s="1933" t="s">
        <v>432</v>
      </c>
      <c r="C233" s="1933" t="s">
        <v>455</v>
      </c>
      <c r="D233" s="1936"/>
      <c r="E233" s="1933" t="s">
        <v>3</v>
      </c>
      <c r="F233" s="1933" t="s">
        <v>1754</v>
      </c>
      <c r="G233" s="1934">
        <f>Summary!E144</f>
        <v>0</v>
      </c>
      <c r="J233" s="1933"/>
      <c r="K233" s="1933"/>
      <c r="L233" s="1933"/>
      <c r="M233" s="1933"/>
      <c r="N233" s="1933"/>
      <c r="O233" s="1933"/>
      <c r="P233" s="1933"/>
      <c r="Q233" s="1933"/>
      <c r="R233" s="1933"/>
      <c r="S233" s="1933"/>
      <c r="T233" s="1933"/>
      <c r="U233" s="1933"/>
      <c r="V233" s="1933"/>
      <c r="W233" s="1933"/>
      <c r="X233" s="1933"/>
      <c r="Y233" s="1933"/>
      <c r="Z233" s="1933"/>
    </row>
    <row r="234" spans="1:26" ht="12" x14ac:dyDescent="0.2">
      <c r="A234" s="1933" t="str">
        <f>MID(Summary!$B$1,FIND(" ",Summary!$B$1,1)+1,4)</f>
        <v>2006</v>
      </c>
      <c r="B234" s="1933" t="s">
        <v>432</v>
      </c>
      <c r="C234" s="1933" t="s">
        <v>455</v>
      </c>
      <c r="D234" s="1936"/>
      <c r="E234" s="1933" t="s">
        <v>4</v>
      </c>
      <c r="F234" s="1933" t="s">
        <v>1754</v>
      </c>
      <c r="G234" s="1934">
        <f>Summary!E145</f>
        <v>5.1722729204562879E-3</v>
      </c>
      <c r="J234" s="1933"/>
      <c r="K234" s="1933"/>
      <c r="L234" s="1933"/>
      <c r="M234" s="1933"/>
      <c r="N234" s="1933"/>
      <c r="O234" s="1933"/>
      <c r="P234" s="1933"/>
      <c r="Q234" s="1933"/>
      <c r="R234" s="1933"/>
      <c r="S234" s="1933"/>
      <c r="T234" s="1933"/>
      <c r="U234" s="1933"/>
      <c r="V234" s="1933"/>
      <c r="W234" s="1933"/>
      <c r="X234" s="1933"/>
      <c r="Y234" s="1933"/>
      <c r="Z234" s="1933"/>
    </row>
    <row r="235" spans="1:26" ht="12" x14ac:dyDescent="0.2">
      <c r="A235" s="1933" t="str">
        <f>MID(Summary!$B$1,FIND(" ",Summary!$B$1,1)+1,4)</f>
        <v>2006</v>
      </c>
      <c r="B235" s="1933" t="s">
        <v>432</v>
      </c>
      <c r="C235" s="1933" t="s">
        <v>455</v>
      </c>
      <c r="D235" s="1936"/>
      <c r="E235" s="1933" t="s">
        <v>5</v>
      </c>
      <c r="F235" s="1933" t="s">
        <v>1754</v>
      </c>
      <c r="G235" s="1934">
        <f>Summary!E146</f>
        <v>2.095885886489051E-3</v>
      </c>
      <c r="J235" s="1933"/>
      <c r="K235" s="1933"/>
      <c r="L235" s="1933"/>
      <c r="M235" s="1933"/>
      <c r="N235" s="1933"/>
      <c r="O235" s="1933"/>
      <c r="P235" s="1933"/>
      <c r="Q235" s="1933"/>
      <c r="R235" s="1933"/>
      <c r="S235" s="1933"/>
      <c r="T235" s="1933"/>
      <c r="U235" s="1933"/>
      <c r="V235" s="1933"/>
      <c r="W235" s="1933"/>
      <c r="X235" s="1933"/>
      <c r="Y235" s="1933"/>
      <c r="Z235" s="1933"/>
    </row>
    <row r="236" spans="1:26" ht="12" x14ac:dyDescent="0.2">
      <c r="A236" s="1933" t="str">
        <f>MID(Summary!$B$1,FIND(" ",Summary!$B$1,1)+1,4)</f>
        <v>2006</v>
      </c>
      <c r="B236" s="1933" t="s">
        <v>432</v>
      </c>
      <c r="C236" s="1933" t="s">
        <v>461</v>
      </c>
      <c r="D236" s="1936"/>
      <c r="E236" s="1933" t="s">
        <v>3</v>
      </c>
      <c r="F236" s="1933" t="s">
        <v>1754</v>
      </c>
      <c r="G236" s="1934">
        <f>Summary!E148</f>
        <v>0.12241756999999999</v>
      </c>
      <c r="J236" s="1933"/>
      <c r="K236" s="1933"/>
      <c r="L236" s="1933"/>
      <c r="M236" s="1933"/>
      <c r="N236" s="1933"/>
      <c r="O236" s="1933"/>
      <c r="P236" s="1933"/>
      <c r="Q236" s="1933"/>
      <c r="R236" s="1933"/>
      <c r="S236" s="1933"/>
      <c r="T236" s="1933"/>
      <c r="U236" s="1933"/>
      <c r="V236" s="1933"/>
      <c r="W236" s="1933"/>
      <c r="X236" s="1933"/>
      <c r="Y236" s="1933"/>
      <c r="Z236" s="1933"/>
    </row>
    <row r="237" spans="1:26" ht="12" x14ac:dyDescent="0.2">
      <c r="A237" s="1933" t="str">
        <f>MID(Summary!$B$1,FIND(" ",Summary!$B$1,1)+1,4)</f>
        <v>2006</v>
      </c>
      <c r="B237" s="1933" t="s">
        <v>432</v>
      </c>
      <c r="C237" s="1933" t="s">
        <v>461</v>
      </c>
      <c r="D237" s="1936"/>
      <c r="E237" s="1933" t="s">
        <v>4</v>
      </c>
      <c r="F237" s="1933" t="s">
        <v>1754</v>
      </c>
      <c r="G237" s="1934">
        <f>Summary!E149</f>
        <v>0</v>
      </c>
      <c r="J237" s="1933"/>
      <c r="K237" s="1933"/>
      <c r="L237" s="1933"/>
      <c r="M237" s="1933"/>
      <c r="N237" s="1933"/>
      <c r="O237" s="1933"/>
      <c r="P237" s="1933"/>
      <c r="Q237" s="1933"/>
      <c r="R237" s="1933"/>
      <c r="S237" s="1933"/>
      <c r="T237" s="1933"/>
      <c r="U237" s="1933"/>
      <c r="V237" s="1933"/>
      <c r="W237" s="1933"/>
      <c r="X237" s="1933"/>
      <c r="Y237" s="1933"/>
      <c r="Z237" s="1933"/>
    </row>
    <row r="238" spans="1:26" ht="12" x14ac:dyDescent="0.2">
      <c r="A238" s="1933" t="str">
        <f>MID(Summary!$B$1,FIND(" ",Summary!$B$1,1)+1,4)</f>
        <v>2006</v>
      </c>
      <c r="B238" s="1933" t="s">
        <v>432</v>
      </c>
      <c r="C238" s="1933" t="s">
        <v>461</v>
      </c>
      <c r="D238" s="1936"/>
      <c r="E238" s="1933" t="s">
        <v>5</v>
      </c>
      <c r="F238" s="1933" t="s">
        <v>1754</v>
      </c>
      <c r="G238" s="1934">
        <f>Summary!E150</f>
        <v>0</v>
      </c>
      <c r="J238" s="1933"/>
      <c r="K238" s="1933"/>
      <c r="L238" s="1933"/>
      <c r="M238" s="1933"/>
      <c r="N238" s="1933"/>
      <c r="O238" s="1933"/>
      <c r="P238" s="1933"/>
      <c r="Q238" s="1933"/>
      <c r="R238" s="1933"/>
      <c r="S238" s="1933"/>
      <c r="T238" s="1933"/>
      <c r="U238" s="1933"/>
      <c r="V238" s="1933"/>
      <c r="W238" s="1933"/>
      <c r="X238" s="1933"/>
      <c r="Y238" s="1933"/>
      <c r="Z238" s="1933"/>
    </row>
    <row r="239" spans="1:26" ht="12" x14ac:dyDescent="0.2">
      <c r="A239" s="1933" t="str">
        <f>MID(Summary!$B$1,FIND(" ",Summary!$B$1,1)+1,4)</f>
        <v>2006</v>
      </c>
      <c r="B239" s="1933" t="s">
        <v>432</v>
      </c>
      <c r="C239" s="1933" t="s">
        <v>434</v>
      </c>
      <c r="D239" s="1936"/>
      <c r="E239" s="1933" t="s">
        <v>3</v>
      </c>
      <c r="F239" s="1933" t="s">
        <v>1756</v>
      </c>
      <c r="G239" s="1934">
        <f>Summary!D132</f>
        <v>0</v>
      </c>
      <c r="H239" s="1933"/>
      <c r="I239" s="1933"/>
      <c r="J239" s="1933"/>
      <c r="K239" s="1933"/>
      <c r="L239" s="1933"/>
      <c r="M239" s="1933"/>
      <c r="N239" s="1933"/>
      <c r="O239" s="1933"/>
      <c r="P239" s="1933"/>
      <c r="Q239" s="1933"/>
      <c r="R239" s="1933"/>
      <c r="S239" s="1933"/>
      <c r="T239" s="1933"/>
      <c r="U239" s="1933"/>
      <c r="V239" s="1933"/>
      <c r="W239" s="1933"/>
      <c r="X239" s="1933"/>
      <c r="Y239" s="1933"/>
      <c r="Z239" s="1933"/>
    </row>
    <row r="240" spans="1:26" ht="12" x14ac:dyDescent="0.2">
      <c r="A240" s="1933" t="str">
        <f>MID(Summary!$B$1,FIND(" ",Summary!$B$1,1)+1,4)</f>
        <v>2006</v>
      </c>
      <c r="B240" s="1933" t="s">
        <v>432</v>
      </c>
      <c r="C240" s="1933" t="s">
        <v>434</v>
      </c>
      <c r="D240" s="1936"/>
      <c r="E240" s="1933" t="s">
        <v>4</v>
      </c>
      <c r="F240" s="1933" t="s">
        <v>1756</v>
      </c>
      <c r="G240" s="1934">
        <f>Summary!D133</f>
        <v>1.6203959941472983</v>
      </c>
      <c r="H240" s="1933"/>
      <c r="I240" s="1933"/>
      <c r="J240" s="1933"/>
      <c r="K240" s="1933"/>
      <c r="L240" s="1933"/>
      <c r="M240" s="1933"/>
      <c r="N240" s="1933"/>
      <c r="O240" s="1933"/>
      <c r="P240" s="1933"/>
      <c r="Q240" s="1933"/>
      <c r="R240" s="1933"/>
      <c r="S240" s="1933"/>
      <c r="T240" s="1933"/>
      <c r="U240" s="1933"/>
      <c r="V240" s="1933"/>
      <c r="W240" s="1933"/>
      <c r="X240" s="1933"/>
      <c r="Y240" s="1933"/>
      <c r="Z240" s="1933"/>
    </row>
    <row r="241" spans="1:26" ht="12" x14ac:dyDescent="0.2">
      <c r="A241" s="1933" t="str">
        <f>MID(Summary!$B$1,FIND(" ",Summary!$B$1,1)+1,4)</f>
        <v>2006</v>
      </c>
      <c r="B241" s="1933" t="s">
        <v>432</v>
      </c>
      <c r="C241" s="1933" t="s">
        <v>434</v>
      </c>
      <c r="D241" s="1936"/>
      <c r="E241" s="1933" t="s">
        <v>5</v>
      </c>
      <c r="F241" s="1933" t="s">
        <v>1756</v>
      </c>
      <c r="G241" s="1934">
        <f>Summary!D134</f>
        <v>0</v>
      </c>
      <c r="H241" s="1933"/>
      <c r="I241" s="1933"/>
      <c r="J241" s="1933"/>
      <c r="K241" s="1933"/>
      <c r="L241" s="1933"/>
      <c r="M241" s="1933"/>
      <c r="N241" s="1933"/>
      <c r="O241" s="1933"/>
      <c r="P241" s="1933"/>
      <c r="Q241" s="1933"/>
      <c r="R241" s="1933"/>
      <c r="S241" s="1933"/>
      <c r="T241" s="1933"/>
      <c r="U241" s="1933"/>
      <c r="V241" s="1933"/>
      <c r="W241" s="1933"/>
      <c r="X241" s="1933"/>
      <c r="Y241" s="1933"/>
      <c r="Z241" s="1933"/>
    </row>
    <row r="242" spans="1:26" ht="12" x14ac:dyDescent="0.2">
      <c r="A242" s="1933" t="str">
        <f>MID(Summary!$B$1,FIND(" ",Summary!$B$1,1)+1,4)</f>
        <v>2006</v>
      </c>
      <c r="B242" s="1933" t="s">
        <v>432</v>
      </c>
      <c r="C242" s="1933" t="s">
        <v>440</v>
      </c>
      <c r="D242" s="1936"/>
      <c r="E242" s="1933" t="s">
        <v>3</v>
      </c>
      <c r="F242" s="1933" t="s">
        <v>1756</v>
      </c>
      <c r="G242" s="1934">
        <f>Summary!D136</f>
        <v>0</v>
      </c>
      <c r="H242" s="1933"/>
      <c r="I242" s="1933"/>
      <c r="J242" s="1933"/>
      <c r="K242" s="1933"/>
      <c r="L242" s="1933"/>
      <c r="M242" s="1933"/>
      <c r="N242" s="1933"/>
      <c r="O242" s="1933"/>
      <c r="P242" s="1933"/>
      <c r="Q242" s="1933"/>
      <c r="R242" s="1933"/>
      <c r="S242" s="1933"/>
      <c r="T242" s="1933"/>
      <c r="U242" s="1933"/>
      <c r="V242" s="1933"/>
      <c r="W242" s="1933"/>
      <c r="X242" s="1933"/>
      <c r="Y242" s="1933"/>
      <c r="Z242" s="1933"/>
    </row>
    <row r="243" spans="1:26" ht="12" x14ac:dyDescent="0.2">
      <c r="A243" s="1933" t="str">
        <f>MID(Summary!$B$1,FIND(" ",Summary!$B$1,1)+1,4)</f>
        <v>2006</v>
      </c>
      <c r="B243" s="1933" t="s">
        <v>432</v>
      </c>
      <c r="C243" s="1933" t="s">
        <v>440</v>
      </c>
      <c r="D243" s="1936"/>
      <c r="E243" s="1933" t="s">
        <v>4</v>
      </c>
      <c r="F243" s="1933" t="s">
        <v>1756</v>
      </c>
      <c r="G243" s="1934">
        <f>Summary!D137</f>
        <v>0.35338950095478494</v>
      </c>
      <c r="H243" s="1933"/>
      <c r="I243" s="1933"/>
      <c r="J243" s="1933"/>
      <c r="K243" s="1933"/>
      <c r="L243" s="1933"/>
      <c r="M243" s="1933"/>
      <c r="N243" s="1933"/>
      <c r="O243" s="1933"/>
      <c r="P243" s="1933"/>
      <c r="Q243" s="1933"/>
      <c r="R243" s="1933"/>
      <c r="S243" s="1933"/>
      <c r="T243" s="1933"/>
      <c r="U243" s="1933"/>
      <c r="V243" s="1933"/>
      <c r="W243" s="1933"/>
      <c r="X243" s="1933"/>
      <c r="Y243" s="1933"/>
      <c r="Z243" s="1933"/>
    </row>
    <row r="244" spans="1:26" ht="12" x14ac:dyDescent="0.2">
      <c r="A244" s="1933" t="str">
        <f>MID(Summary!$B$1,FIND(" ",Summary!$B$1,1)+1,4)</f>
        <v>2006</v>
      </c>
      <c r="B244" s="1933" t="s">
        <v>432</v>
      </c>
      <c r="C244" s="1933" t="s">
        <v>440</v>
      </c>
      <c r="D244" s="1936"/>
      <c r="E244" s="1933" t="s">
        <v>5</v>
      </c>
      <c r="F244" s="1933" t="s">
        <v>1756</v>
      </c>
      <c r="G244" s="1934">
        <f>Summary!D138</f>
        <v>0.20243332510656292</v>
      </c>
      <c r="H244" s="1933"/>
      <c r="I244" s="1933"/>
      <c r="J244" s="1933"/>
      <c r="K244" s="1933"/>
      <c r="L244" s="1933"/>
      <c r="M244" s="1933"/>
      <c r="N244" s="1933"/>
      <c r="O244" s="1933"/>
      <c r="P244" s="1933"/>
      <c r="Q244" s="1933"/>
      <c r="R244" s="1933"/>
      <c r="S244" s="1933"/>
      <c r="T244" s="1933"/>
      <c r="U244" s="1933"/>
      <c r="V244" s="1933"/>
      <c r="W244" s="1933"/>
      <c r="X244" s="1933"/>
      <c r="Y244" s="1933"/>
      <c r="Z244" s="1933"/>
    </row>
    <row r="245" spans="1:26" ht="12" x14ac:dyDescent="0.2">
      <c r="A245" s="1933" t="str">
        <f>MID(Summary!$B$1,FIND(" ",Summary!$B$1,1)+1,4)</f>
        <v>2006</v>
      </c>
      <c r="B245" s="1933" t="s">
        <v>432</v>
      </c>
      <c r="C245" s="1933" t="s">
        <v>450</v>
      </c>
      <c r="D245" s="1936"/>
      <c r="E245" s="1933" t="s">
        <v>3</v>
      </c>
      <c r="F245" s="1933" t="s">
        <v>1756</v>
      </c>
      <c r="G245" s="1934">
        <f>Summary!D140</f>
        <v>0</v>
      </c>
      <c r="H245" s="1933"/>
      <c r="I245" s="1933"/>
      <c r="J245" s="1933"/>
      <c r="K245" s="1933"/>
      <c r="L245" s="1933"/>
      <c r="M245" s="1933"/>
      <c r="N245" s="1933"/>
      <c r="O245" s="1933"/>
      <c r="P245" s="1933"/>
      <c r="Q245" s="1933"/>
      <c r="R245" s="1933"/>
      <c r="S245" s="1933"/>
      <c r="T245" s="1933"/>
      <c r="U245" s="1933"/>
      <c r="V245" s="1933"/>
      <c r="W245" s="1933"/>
      <c r="X245" s="1933"/>
      <c r="Y245" s="1933"/>
      <c r="Z245" s="1933"/>
    </row>
    <row r="246" spans="1:26" ht="12" x14ac:dyDescent="0.2">
      <c r="A246" s="1933" t="str">
        <f>MID(Summary!$B$1,FIND(" ",Summary!$B$1,1)+1,4)</f>
        <v>2006</v>
      </c>
      <c r="B246" s="1933" t="s">
        <v>432</v>
      </c>
      <c r="C246" s="1933" t="s">
        <v>450</v>
      </c>
      <c r="D246" s="1936"/>
      <c r="E246" s="1933" t="s">
        <v>4</v>
      </c>
      <c r="F246" s="1933" t="s">
        <v>1756</v>
      </c>
      <c r="G246" s="1934">
        <f>Summary!D141</f>
        <v>0</v>
      </c>
      <c r="H246" s="1933"/>
      <c r="I246" s="1933"/>
      <c r="J246" s="1933"/>
      <c r="K246" s="1933"/>
      <c r="L246" s="1933"/>
      <c r="M246" s="1933"/>
      <c r="N246" s="1933"/>
      <c r="O246" s="1933"/>
      <c r="P246" s="1933"/>
      <c r="Q246" s="1933"/>
      <c r="R246" s="1933"/>
      <c r="S246" s="1933"/>
      <c r="T246" s="1933"/>
      <c r="U246" s="1933"/>
      <c r="V246" s="1933"/>
      <c r="W246" s="1933"/>
      <c r="X246" s="1933"/>
      <c r="Y246" s="1933"/>
      <c r="Z246" s="1933"/>
    </row>
    <row r="247" spans="1:26" ht="12" x14ac:dyDescent="0.2">
      <c r="A247" s="1933" t="str">
        <f>MID(Summary!$B$1,FIND(" ",Summary!$B$1,1)+1,4)</f>
        <v>2006</v>
      </c>
      <c r="B247" s="1933" t="s">
        <v>432</v>
      </c>
      <c r="C247" s="1933" t="s">
        <v>450</v>
      </c>
      <c r="D247" s="1936"/>
      <c r="E247" s="1933" t="s">
        <v>5</v>
      </c>
      <c r="F247" s="1933" t="s">
        <v>1756</v>
      </c>
      <c r="G247" s="1934">
        <f>Summary!D142</f>
        <v>0.89797074448265468</v>
      </c>
      <c r="J247" s="1933"/>
      <c r="K247" s="1933"/>
      <c r="L247" s="1933"/>
      <c r="M247" s="1933"/>
      <c r="N247" s="1933"/>
      <c r="O247" s="1933"/>
      <c r="P247" s="1933"/>
      <c r="Q247" s="1933"/>
      <c r="R247" s="1933"/>
      <c r="S247" s="1933"/>
      <c r="T247" s="1933"/>
      <c r="U247" s="1933"/>
      <c r="V247" s="1933"/>
      <c r="W247" s="1933"/>
      <c r="X247" s="1933"/>
      <c r="Y247" s="1933"/>
      <c r="Z247" s="1933"/>
    </row>
    <row r="248" spans="1:26" ht="12" x14ac:dyDescent="0.2">
      <c r="A248" s="1933" t="str">
        <f>MID(Summary!$B$1,FIND(" ",Summary!$B$1,1)+1,4)</f>
        <v>2006</v>
      </c>
      <c r="B248" s="1933" t="s">
        <v>432</v>
      </c>
      <c r="C248" s="1933" t="s">
        <v>455</v>
      </c>
      <c r="D248" s="1936"/>
      <c r="E248" s="1933" t="s">
        <v>3</v>
      </c>
      <c r="F248" s="1933" t="s">
        <v>1756</v>
      </c>
      <c r="G248" s="1934">
        <f>Summary!D144</f>
        <v>0</v>
      </c>
      <c r="H248" s="1933"/>
      <c r="I248" s="1933"/>
      <c r="J248" s="1933"/>
      <c r="K248" s="1933"/>
      <c r="L248" s="1933"/>
      <c r="M248" s="1933"/>
      <c r="N248" s="1933"/>
      <c r="O248" s="1933"/>
      <c r="P248" s="1933"/>
      <c r="Q248" s="1933"/>
      <c r="R248" s="1933"/>
      <c r="S248" s="1933"/>
      <c r="T248" s="1933"/>
      <c r="U248" s="1933"/>
      <c r="V248" s="1933"/>
      <c r="W248" s="1933"/>
      <c r="X248" s="1933"/>
      <c r="Y248" s="1933"/>
      <c r="Z248" s="1933"/>
    </row>
    <row r="249" spans="1:26" ht="12" x14ac:dyDescent="0.2">
      <c r="A249" s="1933" t="str">
        <f>MID(Summary!$B$1,FIND(" ",Summary!$B$1,1)+1,4)</f>
        <v>2006</v>
      </c>
      <c r="B249" s="1933" t="s">
        <v>432</v>
      </c>
      <c r="C249" s="1933" t="s">
        <v>455</v>
      </c>
      <c r="D249" s="1936"/>
      <c r="E249" s="1933" t="s">
        <v>4</v>
      </c>
      <c r="F249" s="1933" t="s">
        <v>1756</v>
      </c>
      <c r="G249" s="1934">
        <f>Summary!D145</f>
        <v>1.5053353445915792E-2</v>
      </c>
      <c r="H249" s="1933"/>
      <c r="I249" s="1933"/>
      <c r="J249" s="1933"/>
      <c r="K249" s="1933"/>
      <c r="L249" s="1933"/>
      <c r="M249" s="1933"/>
      <c r="N249" s="1933"/>
      <c r="O249" s="1933"/>
      <c r="P249" s="1933"/>
      <c r="Q249" s="1933"/>
      <c r="R249" s="1933"/>
      <c r="S249" s="1933"/>
      <c r="T249" s="1933"/>
      <c r="U249" s="1933"/>
      <c r="V249" s="1933"/>
      <c r="W249" s="1933"/>
      <c r="X249" s="1933"/>
      <c r="Y249" s="1933"/>
      <c r="Z249" s="1933"/>
    </row>
    <row r="250" spans="1:26" ht="12" x14ac:dyDescent="0.2">
      <c r="A250" s="1933" t="str">
        <f>MID(Summary!$B$1,FIND(" ",Summary!$B$1,1)+1,4)</f>
        <v>2006</v>
      </c>
      <c r="B250" s="1933" t="s">
        <v>432</v>
      </c>
      <c r="C250" s="1933" t="s">
        <v>455</v>
      </c>
      <c r="D250" s="1936"/>
      <c r="E250" s="1933" t="s">
        <v>5</v>
      </c>
      <c r="F250" s="1933" t="s">
        <v>1756</v>
      </c>
      <c r="G250" s="1934">
        <f>Summary!D146</f>
        <v>2.095885886489051E-3</v>
      </c>
      <c r="H250" s="1933"/>
      <c r="I250" s="1933"/>
      <c r="J250" s="1933"/>
      <c r="K250" s="1933"/>
      <c r="L250" s="1933"/>
      <c r="M250" s="1933"/>
      <c r="N250" s="1933"/>
      <c r="O250" s="1933"/>
      <c r="P250" s="1933"/>
      <c r="Q250" s="1933"/>
      <c r="R250" s="1933"/>
      <c r="S250" s="1933"/>
      <c r="T250" s="1933"/>
      <c r="U250" s="1933"/>
      <c r="V250" s="1933"/>
      <c r="W250" s="1933"/>
      <c r="X250" s="1933"/>
      <c r="Y250" s="1933"/>
      <c r="Z250" s="1933"/>
    </row>
    <row r="251" spans="1:26" ht="12" x14ac:dyDescent="0.2">
      <c r="A251" s="1933" t="str">
        <f>MID(Summary!$B$1,FIND(" ",Summary!$B$1,1)+1,4)</f>
        <v>2006</v>
      </c>
      <c r="B251" s="1933" t="s">
        <v>432</v>
      </c>
      <c r="C251" s="1933" t="s">
        <v>461</v>
      </c>
      <c r="D251" s="1936"/>
      <c r="E251" s="1933" t="s">
        <v>3</v>
      </c>
      <c r="F251" s="1933" t="s">
        <v>1756</v>
      </c>
      <c r="G251" s="1934">
        <f>Summary!D148</f>
        <v>0.12241756999999999</v>
      </c>
      <c r="H251" s="1933"/>
      <c r="I251" s="1933"/>
      <c r="J251" s="1933"/>
      <c r="K251" s="1933"/>
      <c r="L251" s="1933"/>
      <c r="M251" s="1933"/>
      <c r="N251" s="1933"/>
      <c r="O251" s="1933"/>
      <c r="P251" s="1933"/>
      <c r="Q251" s="1933"/>
      <c r="R251" s="1933"/>
      <c r="S251" s="1933"/>
      <c r="T251" s="1933"/>
      <c r="U251" s="1933"/>
      <c r="V251" s="1933"/>
      <c r="W251" s="1933"/>
      <c r="X251" s="1933"/>
      <c r="Y251" s="1933"/>
      <c r="Z251" s="1933"/>
    </row>
    <row r="252" spans="1:26" ht="12" x14ac:dyDescent="0.2">
      <c r="A252" s="1933" t="str">
        <f>MID(Summary!$B$1,FIND(" ",Summary!$B$1,1)+1,4)</f>
        <v>2006</v>
      </c>
      <c r="B252" s="1933" t="s">
        <v>432</v>
      </c>
      <c r="C252" s="1933" t="s">
        <v>461</v>
      </c>
      <c r="D252" s="1936"/>
      <c r="E252" s="1933" t="s">
        <v>4</v>
      </c>
      <c r="F252" s="1933" t="s">
        <v>1756</v>
      </c>
      <c r="G252" s="1934">
        <f>Summary!D149</f>
        <v>0</v>
      </c>
      <c r="H252" s="1933"/>
      <c r="I252" s="1933"/>
      <c r="J252" s="1933"/>
      <c r="K252" s="1933"/>
      <c r="L252" s="1933"/>
      <c r="M252" s="1933"/>
      <c r="N252" s="1933"/>
      <c r="O252" s="1933"/>
      <c r="P252" s="1933"/>
      <c r="Q252" s="1933"/>
      <c r="R252" s="1933"/>
      <c r="S252" s="1933"/>
      <c r="T252" s="1933"/>
      <c r="U252" s="1933"/>
      <c r="V252" s="1933"/>
      <c r="W252" s="1933"/>
      <c r="X252" s="1933"/>
      <c r="Y252" s="1933"/>
      <c r="Z252" s="1933"/>
    </row>
    <row r="253" spans="1:26" ht="12" x14ac:dyDescent="0.2">
      <c r="A253" s="1933" t="str">
        <f>MID(Summary!$B$1,FIND(" ",Summary!$B$1,1)+1,4)</f>
        <v>2006</v>
      </c>
      <c r="B253" s="1933" t="s">
        <v>432</v>
      </c>
      <c r="C253" s="1933" t="s">
        <v>461</v>
      </c>
      <c r="D253" s="1936"/>
      <c r="E253" s="1933" t="s">
        <v>5</v>
      </c>
      <c r="F253" s="1933" t="s">
        <v>1756</v>
      </c>
      <c r="G253" s="1934">
        <f>Summary!D150</f>
        <v>0</v>
      </c>
      <c r="H253" s="1933"/>
      <c r="I253" s="1933"/>
      <c r="J253" s="1933"/>
      <c r="K253" s="1933"/>
      <c r="L253" s="1933"/>
      <c r="M253" s="1933"/>
      <c r="N253" s="1933"/>
      <c r="O253" s="1933"/>
      <c r="P253" s="1933"/>
      <c r="Q253" s="1933"/>
      <c r="R253" s="1933"/>
      <c r="S253" s="1933"/>
      <c r="T253" s="1933"/>
      <c r="U253" s="1933"/>
      <c r="V253" s="1933"/>
      <c r="W253" s="1933"/>
      <c r="X253" s="1933"/>
      <c r="Y253" s="1933"/>
      <c r="Z253" s="1933"/>
    </row>
    <row r="254" spans="1:26" ht="12" x14ac:dyDescent="0.2">
      <c r="A254" s="1933" t="str">
        <f>MID(Summary!$B$1,FIND(" ",Summary!$B$1,1)+1,4)</f>
        <v>2006</v>
      </c>
      <c r="B254" s="1933" t="s">
        <v>469</v>
      </c>
      <c r="C254" s="1933" t="s">
        <v>472</v>
      </c>
      <c r="D254" s="1936"/>
      <c r="E254" s="1933" t="s">
        <v>3</v>
      </c>
      <c r="F254" s="1933" t="s">
        <v>1754</v>
      </c>
      <c r="G254" s="1934">
        <f>Summary!E153</f>
        <v>1.2721711605512047</v>
      </c>
      <c r="J254" s="1933"/>
      <c r="K254" s="1933"/>
      <c r="L254" s="1933"/>
      <c r="M254" s="1933"/>
      <c r="N254" s="1933"/>
      <c r="O254" s="1933"/>
      <c r="P254" s="1933"/>
      <c r="Q254" s="1933"/>
      <c r="R254" s="1933"/>
      <c r="S254" s="1933"/>
      <c r="T254" s="1933"/>
      <c r="U254" s="1933"/>
      <c r="V254" s="1933"/>
      <c r="W254" s="1933"/>
      <c r="X254" s="1933"/>
      <c r="Y254" s="1933"/>
      <c r="Z254" s="1933"/>
    </row>
    <row r="255" spans="1:26" ht="12" x14ac:dyDescent="0.2">
      <c r="A255" s="1933" t="str">
        <f>MID(Summary!$B$1,FIND(" ",Summary!$B$1,1)+1,4)</f>
        <v>2006</v>
      </c>
      <c r="B255" s="1933" t="s">
        <v>469</v>
      </c>
      <c r="C255" s="1933" t="s">
        <v>472</v>
      </c>
      <c r="D255" s="1936"/>
      <c r="E255" s="1933" t="s">
        <v>4</v>
      </c>
      <c r="F255" s="1933" t="s">
        <v>1754</v>
      </c>
      <c r="G255" s="1934">
        <f>Summary!E154</f>
        <v>0</v>
      </c>
      <c r="J255" s="1933"/>
      <c r="K255" s="1933"/>
      <c r="L255" s="1933"/>
      <c r="M255" s="1933"/>
      <c r="N255" s="1933"/>
      <c r="O255" s="1933"/>
      <c r="P255" s="1933"/>
      <c r="Q255" s="1933"/>
      <c r="R255" s="1933"/>
      <c r="S255" s="1933"/>
      <c r="T255" s="1933"/>
      <c r="U255" s="1933"/>
      <c r="V255" s="1933"/>
      <c r="W255" s="1933"/>
      <c r="X255" s="1933"/>
      <c r="Y255" s="1933"/>
      <c r="Z255" s="1933"/>
    </row>
    <row r="256" spans="1:26" ht="12" x14ac:dyDescent="0.2">
      <c r="A256" s="1933" t="str">
        <f>MID(Summary!$B$1,FIND(" ",Summary!$B$1,1)+1,4)</f>
        <v>2006</v>
      </c>
      <c r="B256" s="1933" t="s">
        <v>469</v>
      </c>
      <c r="C256" s="1933" t="s">
        <v>472</v>
      </c>
      <c r="D256" s="1936"/>
      <c r="E256" s="1933" t="s">
        <v>5</v>
      </c>
      <c r="F256" s="1933" t="s">
        <v>1754</v>
      </c>
      <c r="G256" s="1934">
        <f>Summary!E155</f>
        <v>1.7727876984818036E-2</v>
      </c>
      <c r="J256" s="1933"/>
      <c r="K256" s="1933"/>
      <c r="L256" s="1933"/>
      <c r="M256" s="1933"/>
      <c r="N256" s="1933"/>
      <c r="O256" s="1933"/>
      <c r="P256" s="1933"/>
      <c r="Q256" s="1933"/>
      <c r="R256" s="1933"/>
      <c r="S256" s="1933"/>
      <c r="T256" s="1933"/>
      <c r="U256" s="1933"/>
      <c r="V256" s="1933"/>
      <c r="W256" s="1933"/>
      <c r="X256" s="1933"/>
      <c r="Y256" s="1933"/>
      <c r="Z256" s="1933"/>
    </row>
    <row r="257" spans="1:26" ht="12" x14ac:dyDescent="0.2">
      <c r="A257" s="1933" t="str">
        <f>MID(Summary!$B$1,FIND(" ",Summary!$B$1,1)+1,4)</f>
        <v>2006</v>
      </c>
      <c r="B257" s="1933" t="s">
        <v>469</v>
      </c>
      <c r="C257" s="1933" t="s">
        <v>482</v>
      </c>
      <c r="D257" s="1936"/>
      <c r="E257" s="1933" t="s">
        <v>3</v>
      </c>
      <c r="F257" s="1933" t="s">
        <v>1754</v>
      </c>
      <c r="G257" s="1934">
        <f>Summary!E157</f>
        <v>0.53481026779417729</v>
      </c>
      <c r="J257" s="1933"/>
      <c r="K257" s="1933"/>
      <c r="L257" s="1933"/>
      <c r="M257" s="1933"/>
      <c r="N257" s="1933"/>
      <c r="O257" s="1933"/>
      <c r="P257" s="1933"/>
      <c r="Q257" s="1933"/>
      <c r="R257" s="1933"/>
      <c r="S257" s="1933"/>
      <c r="T257" s="1933"/>
      <c r="U257" s="1933"/>
      <c r="V257" s="1933"/>
      <c r="W257" s="1933"/>
      <c r="X257" s="1933"/>
      <c r="Y257" s="1933"/>
      <c r="Z257" s="1933"/>
    </row>
    <row r="258" spans="1:26" ht="12" x14ac:dyDescent="0.2">
      <c r="A258" s="1933" t="str">
        <f>MID(Summary!$B$1,FIND(" ",Summary!$B$1,1)+1,4)</f>
        <v>2006</v>
      </c>
      <c r="B258" s="1933" t="s">
        <v>469</v>
      </c>
      <c r="C258" s="1933" t="s">
        <v>482</v>
      </c>
      <c r="D258" s="1936"/>
      <c r="E258" s="1933" t="s">
        <v>4</v>
      </c>
      <c r="F258" s="1933" t="s">
        <v>1754</v>
      </c>
      <c r="G258" s="1934">
        <f>Summary!E158</f>
        <v>2.1430802972069056</v>
      </c>
      <c r="J258" s="1933"/>
      <c r="K258" s="1933"/>
      <c r="L258" s="1933"/>
      <c r="M258" s="1933"/>
      <c r="N258" s="1933"/>
      <c r="O258" s="1933"/>
      <c r="P258" s="1933"/>
      <c r="Q258" s="1933"/>
      <c r="R258" s="1933"/>
      <c r="S258" s="1933"/>
      <c r="T258" s="1933"/>
      <c r="U258" s="1933"/>
      <c r="V258" s="1933"/>
      <c r="W258" s="1933"/>
      <c r="X258" s="1933"/>
      <c r="Y258" s="1933"/>
      <c r="Z258" s="1933"/>
    </row>
    <row r="259" spans="1:26" ht="12" x14ac:dyDescent="0.2">
      <c r="A259" s="1933" t="str">
        <f>MID(Summary!$B$1,FIND(" ",Summary!$B$1,1)+1,4)</f>
        <v>2006</v>
      </c>
      <c r="B259" s="1933" t="s">
        <v>469</v>
      </c>
      <c r="C259" s="1933" t="s">
        <v>482</v>
      </c>
      <c r="D259" s="1936"/>
      <c r="E259" s="1933" t="s">
        <v>5</v>
      </c>
      <c r="F259" s="1933" t="s">
        <v>1754</v>
      </c>
      <c r="G259" s="1934">
        <f>Summary!E159</f>
        <v>0</v>
      </c>
      <c r="J259" s="1933"/>
      <c r="K259" s="1933"/>
      <c r="L259" s="1933"/>
      <c r="M259" s="1933"/>
      <c r="N259" s="1933"/>
      <c r="O259" s="1933"/>
      <c r="P259" s="1933"/>
      <c r="Q259" s="1933"/>
      <c r="R259" s="1933"/>
      <c r="S259" s="1933"/>
      <c r="T259" s="1933"/>
      <c r="U259" s="1933"/>
      <c r="V259" s="1933"/>
      <c r="W259" s="1933"/>
      <c r="X259" s="1933"/>
      <c r="Y259" s="1933"/>
      <c r="Z259" s="1933"/>
    </row>
    <row r="260" spans="1:26" ht="12" x14ac:dyDescent="0.2">
      <c r="A260" s="1933" t="str">
        <f>MID(Summary!$B$1,FIND(" ",Summary!$B$1,1)+1,4)</f>
        <v>2006</v>
      </c>
      <c r="B260" s="1933" t="s">
        <v>469</v>
      </c>
      <c r="C260" s="1933" t="s">
        <v>489</v>
      </c>
      <c r="D260" s="1936"/>
      <c r="E260" s="1933" t="s">
        <v>3</v>
      </c>
      <c r="F260" s="1933" t="s">
        <v>1754</v>
      </c>
      <c r="G260" s="1934">
        <f>Summary!E161</f>
        <v>0</v>
      </c>
      <c r="J260" s="1933"/>
      <c r="K260" s="1933"/>
      <c r="L260" s="1933"/>
      <c r="M260" s="1933"/>
      <c r="N260" s="1933"/>
      <c r="O260" s="1933"/>
      <c r="P260" s="1933"/>
      <c r="Q260" s="1933"/>
      <c r="R260" s="1933"/>
      <c r="S260" s="1933"/>
      <c r="T260" s="1933"/>
      <c r="U260" s="1933"/>
      <c r="V260" s="1933"/>
      <c r="W260" s="1933"/>
      <c r="X260" s="1933"/>
      <c r="Y260" s="1933"/>
      <c r="Z260" s="1933"/>
    </row>
    <row r="261" spans="1:26" ht="12" x14ac:dyDescent="0.2">
      <c r="A261" s="1933" t="str">
        <f>MID(Summary!$B$1,FIND(" ",Summary!$B$1,1)+1,4)</f>
        <v>2006</v>
      </c>
      <c r="B261" s="1933" t="s">
        <v>469</v>
      </c>
      <c r="C261" s="1933" t="s">
        <v>489</v>
      </c>
      <c r="D261" s="1936"/>
      <c r="E261" s="1933" t="s">
        <v>4</v>
      </c>
      <c r="F261" s="1933" t="s">
        <v>1754</v>
      </c>
      <c r="G261" s="1934">
        <f>Summary!E162</f>
        <v>0.53243383091758512</v>
      </c>
      <c r="J261" s="1933"/>
      <c r="K261" s="1933"/>
      <c r="L261" s="1933"/>
      <c r="M261" s="1933"/>
      <c r="N261" s="1933"/>
      <c r="O261" s="1933"/>
      <c r="P261" s="1933"/>
      <c r="Q261" s="1933"/>
      <c r="R261" s="1933"/>
      <c r="S261" s="1933"/>
      <c r="T261" s="1933"/>
      <c r="U261" s="1933"/>
      <c r="V261" s="1933"/>
      <c r="W261" s="1933"/>
      <c r="X261" s="1933"/>
      <c r="Y261" s="1933"/>
      <c r="Z261" s="1933"/>
    </row>
    <row r="262" spans="1:26" ht="12" x14ac:dyDescent="0.2">
      <c r="A262" s="1933" t="str">
        <f>MID(Summary!$B$1,FIND(" ",Summary!$B$1,1)+1,4)</f>
        <v>2006</v>
      </c>
      <c r="B262" s="1933" t="s">
        <v>469</v>
      </c>
      <c r="C262" s="1933" t="s">
        <v>489</v>
      </c>
      <c r="D262" s="1936"/>
      <c r="E262" s="1933" t="s">
        <v>5</v>
      </c>
      <c r="F262" s="1933" t="s">
        <v>1754</v>
      </c>
      <c r="G262" s="1934">
        <f>Summary!E163</f>
        <v>0.15062335396934279</v>
      </c>
      <c r="J262" s="1933"/>
      <c r="K262" s="1933"/>
      <c r="L262" s="1933"/>
      <c r="M262" s="1933"/>
      <c r="N262" s="1933"/>
      <c r="O262" s="1933"/>
      <c r="P262" s="1933"/>
      <c r="Q262" s="1933"/>
      <c r="R262" s="1933"/>
      <c r="S262" s="1933"/>
      <c r="T262" s="1933"/>
      <c r="U262" s="1933"/>
      <c r="V262" s="1933"/>
      <c r="W262" s="1933"/>
      <c r="X262" s="1933"/>
      <c r="Y262" s="1933"/>
      <c r="Z262" s="1933"/>
    </row>
    <row r="263" spans="1:26" ht="12" x14ac:dyDescent="0.2">
      <c r="A263" s="1933" t="str">
        <f>MID(Summary!$B$1,FIND(" ",Summary!$B$1,1)+1,4)</f>
        <v>2006</v>
      </c>
      <c r="B263" s="1933" t="s">
        <v>469</v>
      </c>
      <c r="C263" s="1933" t="s">
        <v>496</v>
      </c>
      <c r="D263" s="1936"/>
      <c r="E263" s="1933" t="s">
        <v>3</v>
      </c>
      <c r="F263" s="1933" t="s">
        <v>1754</v>
      </c>
      <c r="G263" s="1934">
        <f>Summary!E165</f>
        <v>3.3000000000000002E-2</v>
      </c>
      <c r="J263" s="1933"/>
      <c r="K263" s="1933"/>
      <c r="L263" s="1933"/>
      <c r="M263" s="1933"/>
      <c r="N263" s="1933"/>
      <c r="O263" s="1933"/>
      <c r="P263" s="1933"/>
      <c r="Q263" s="1933"/>
      <c r="R263" s="1933"/>
      <c r="S263" s="1933"/>
      <c r="T263" s="1933"/>
      <c r="U263" s="1933"/>
      <c r="V263" s="1933"/>
      <c r="W263" s="1933"/>
      <c r="X263" s="1933"/>
      <c r="Y263" s="1933"/>
      <c r="Z263" s="1933"/>
    </row>
    <row r="264" spans="1:26" ht="12" x14ac:dyDescent="0.2">
      <c r="A264" s="1933" t="str">
        <f>MID(Summary!$B$1,FIND(" ",Summary!$B$1,1)+1,4)</f>
        <v>2006</v>
      </c>
      <c r="B264" s="1933" t="s">
        <v>469</v>
      </c>
      <c r="C264" s="1933" t="s">
        <v>496</v>
      </c>
      <c r="D264" s="1936"/>
      <c r="E264" s="1933" t="s">
        <v>4</v>
      </c>
      <c r="F264" s="1933" t="s">
        <v>1754</v>
      </c>
      <c r="G264" s="1934">
        <f>Summary!E166</f>
        <v>0</v>
      </c>
      <c r="J264" s="1933"/>
      <c r="K264" s="1933"/>
      <c r="L264" s="1933"/>
      <c r="M264" s="1933"/>
      <c r="N264" s="1933"/>
      <c r="O264" s="1933"/>
      <c r="P264" s="1933"/>
      <c r="Q264" s="1933"/>
      <c r="R264" s="1933"/>
      <c r="S264" s="1933"/>
      <c r="T264" s="1933"/>
      <c r="U264" s="1933"/>
      <c r="V264" s="1933"/>
      <c r="W264" s="1933"/>
      <c r="X264" s="1933"/>
      <c r="Y264" s="1933"/>
      <c r="Z264" s="1933"/>
    </row>
    <row r="265" spans="1:26" ht="12" x14ac:dyDescent="0.2">
      <c r="A265" s="1933" t="str">
        <f>MID(Summary!$B$1,FIND(" ",Summary!$B$1,1)+1,4)</f>
        <v>2006</v>
      </c>
      <c r="B265" s="1933" t="s">
        <v>469</v>
      </c>
      <c r="C265" s="1933" t="s">
        <v>496</v>
      </c>
      <c r="D265" s="1936"/>
      <c r="E265" s="1933" t="s">
        <v>5</v>
      </c>
      <c r="F265" s="1933" t="s">
        <v>1754</v>
      </c>
      <c r="G265" s="1934">
        <f>Summary!E167</f>
        <v>0</v>
      </c>
      <c r="J265" s="1933"/>
      <c r="K265" s="1933"/>
      <c r="L265" s="1933"/>
      <c r="M265" s="1933"/>
      <c r="N265" s="1933"/>
      <c r="O265" s="1933"/>
      <c r="P265" s="1933"/>
      <c r="Q265" s="1933"/>
      <c r="R265" s="1933"/>
      <c r="S265" s="1933"/>
      <c r="T265" s="1933"/>
      <c r="U265" s="1933"/>
      <c r="V265" s="1933"/>
      <c r="W265" s="1933"/>
      <c r="X265" s="1933"/>
      <c r="Y265" s="1933"/>
      <c r="Z265" s="1933"/>
    </row>
    <row r="266" spans="1:26" ht="12" x14ac:dyDescent="0.2">
      <c r="A266" s="1933" t="str">
        <f>MID(Summary!$B$1,FIND(" ",Summary!$B$1,1)+1,4)</f>
        <v>2006</v>
      </c>
      <c r="B266" s="1933" t="s">
        <v>469</v>
      </c>
      <c r="C266" s="1933" t="s">
        <v>472</v>
      </c>
      <c r="D266" s="1936"/>
      <c r="E266" s="1933" t="s">
        <v>3</v>
      </c>
      <c r="F266" s="1933" t="s">
        <v>1756</v>
      </c>
      <c r="G266" s="1934">
        <f>Summary!D153</f>
        <v>1.2721711605512047</v>
      </c>
      <c r="H266" s="1933"/>
      <c r="I266" s="1933"/>
      <c r="J266" s="1933"/>
      <c r="K266" s="1933"/>
      <c r="L266" s="1933"/>
      <c r="M266" s="1933"/>
      <c r="N266" s="1933"/>
      <c r="O266" s="1933"/>
      <c r="P266" s="1933"/>
      <c r="Q266" s="1933"/>
      <c r="R266" s="1933"/>
      <c r="S266" s="1933"/>
      <c r="T266" s="1933"/>
      <c r="U266" s="1933"/>
      <c r="V266" s="1933"/>
      <c r="W266" s="1933"/>
      <c r="X266" s="1933"/>
      <c r="Y266" s="1933"/>
      <c r="Z266" s="1933"/>
    </row>
    <row r="267" spans="1:26" ht="12" x14ac:dyDescent="0.2">
      <c r="A267" s="1933" t="str">
        <f>MID(Summary!$B$1,FIND(" ",Summary!$B$1,1)+1,4)</f>
        <v>2006</v>
      </c>
      <c r="B267" s="1933" t="s">
        <v>469</v>
      </c>
      <c r="C267" s="1933" t="s">
        <v>472</v>
      </c>
      <c r="D267" s="1936"/>
      <c r="E267" s="1933" t="s">
        <v>4</v>
      </c>
      <c r="F267" s="1933" t="s">
        <v>1756</v>
      </c>
      <c r="G267" s="1934">
        <f>Summary!D154</f>
        <v>0</v>
      </c>
      <c r="H267" s="1933"/>
      <c r="I267" s="1933"/>
      <c r="J267" s="1933"/>
      <c r="K267" s="1933"/>
      <c r="L267" s="1933"/>
      <c r="M267" s="1933"/>
      <c r="N267" s="1933"/>
      <c r="O267" s="1933"/>
      <c r="P267" s="1933"/>
      <c r="Q267" s="1933"/>
      <c r="R267" s="1933"/>
      <c r="S267" s="1933"/>
      <c r="T267" s="1933"/>
      <c r="U267" s="1933"/>
      <c r="V267" s="1933"/>
      <c r="W267" s="1933"/>
      <c r="X267" s="1933"/>
      <c r="Y267" s="1933"/>
      <c r="Z267" s="1933"/>
    </row>
    <row r="268" spans="1:26" ht="12" x14ac:dyDescent="0.2">
      <c r="A268" s="1933" t="str">
        <f>MID(Summary!$B$1,FIND(" ",Summary!$B$1,1)+1,4)</f>
        <v>2006</v>
      </c>
      <c r="B268" s="1933" t="s">
        <v>469</v>
      </c>
      <c r="C268" s="1933" t="s">
        <v>472</v>
      </c>
      <c r="D268" s="1936"/>
      <c r="E268" s="1933" t="s">
        <v>5</v>
      </c>
      <c r="F268" s="1933" t="s">
        <v>1756</v>
      </c>
      <c r="G268" s="1934">
        <f>Summary!D155</f>
        <v>1.7727876984818036E-2</v>
      </c>
      <c r="H268" s="1933"/>
      <c r="I268" s="1933"/>
      <c r="J268" s="1933"/>
      <c r="K268" s="1933"/>
      <c r="L268" s="1933"/>
      <c r="M268" s="1933"/>
      <c r="N268" s="1933"/>
      <c r="O268" s="1933"/>
      <c r="P268" s="1933"/>
      <c r="Q268" s="1933"/>
      <c r="R268" s="1933"/>
      <c r="S268" s="1933"/>
      <c r="T268" s="1933"/>
      <c r="U268" s="1933"/>
      <c r="V268" s="1933"/>
      <c r="W268" s="1933"/>
      <c r="X268" s="1933"/>
      <c r="Y268" s="1933"/>
      <c r="Z268" s="1933"/>
    </row>
    <row r="269" spans="1:26" ht="12" x14ac:dyDescent="0.2">
      <c r="A269" s="1933" t="str">
        <f>MID(Summary!$B$1,FIND(" ",Summary!$B$1,1)+1,4)</f>
        <v>2006</v>
      </c>
      <c r="B269" s="1933" t="s">
        <v>469</v>
      </c>
      <c r="C269" s="1933" t="s">
        <v>482</v>
      </c>
      <c r="D269" s="1936"/>
      <c r="E269" s="1933" t="s">
        <v>3</v>
      </c>
      <c r="F269" s="1933" t="s">
        <v>1756</v>
      </c>
      <c r="G269" s="1934">
        <f>Summary!D157</f>
        <v>0.53481026779417729</v>
      </c>
      <c r="H269" s="1933"/>
      <c r="I269" s="1933"/>
      <c r="J269" s="1933"/>
      <c r="K269" s="1933"/>
      <c r="L269" s="1933"/>
      <c r="M269" s="1933"/>
      <c r="N269" s="1933"/>
      <c r="O269" s="1933"/>
      <c r="P269" s="1933"/>
      <c r="Q269" s="1933"/>
      <c r="R269" s="1933"/>
      <c r="S269" s="1933"/>
      <c r="T269" s="1933"/>
      <c r="U269" s="1933"/>
      <c r="V269" s="1933"/>
      <c r="W269" s="1933"/>
      <c r="X269" s="1933"/>
      <c r="Y269" s="1933"/>
      <c r="Z269" s="1933"/>
    </row>
    <row r="270" spans="1:26" ht="12" x14ac:dyDescent="0.2">
      <c r="A270" s="1933" t="str">
        <f>MID(Summary!$B$1,FIND(" ",Summary!$B$1,1)+1,4)</f>
        <v>2006</v>
      </c>
      <c r="B270" s="1933" t="s">
        <v>469</v>
      </c>
      <c r="C270" s="1933" t="s">
        <v>482</v>
      </c>
      <c r="D270" s="1936"/>
      <c r="E270" s="1933" t="s">
        <v>4</v>
      </c>
      <c r="F270" s="1933" t="s">
        <v>1756</v>
      </c>
      <c r="G270" s="1934">
        <f>Summary!D158</f>
        <v>6.2372086069247583</v>
      </c>
      <c r="H270" s="1933"/>
      <c r="I270" s="1933"/>
      <c r="J270" s="1933"/>
      <c r="K270" s="1933"/>
      <c r="L270" s="1933"/>
      <c r="M270" s="1933"/>
      <c r="N270" s="1933"/>
      <c r="O270" s="1933"/>
      <c r="P270" s="1933"/>
      <c r="Q270" s="1933"/>
      <c r="R270" s="1933"/>
      <c r="S270" s="1933"/>
      <c r="T270" s="1933"/>
      <c r="U270" s="1933"/>
      <c r="V270" s="1933"/>
      <c r="W270" s="1933"/>
      <c r="X270" s="1933"/>
      <c r="Y270" s="1933"/>
      <c r="Z270" s="1933"/>
    </row>
    <row r="271" spans="1:26" ht="12" x14ac:dyDescent="0.2">
      <c r="A271" s="1933" t="str">
        <f>MID(Summary!$B$1,FIND(" ",Summary!$B$1,1)+1,4)</f>
        <v>2006</v>
      </c>
      <c r="B271" s="1933" t="s">
        <v>469</v>
      </c>
      <c r="C271" s="1933" t="s">
        <v>482</v>
      </c>
      <c r="D271" s="1936"/>
      <c r="E271" s="1933" t="s">
        <v>5</v>
      </c>
      <c r="F271" s="1933" t="s">
        <v>1756</v>
      </c>
      <c r="G271" s="1934">
        <f>Summary!D159</f>
        <v>0</v>
      </c>
      <c r="H271" s="1933"/>
      <c r="I271" s="1933"/>
      <c r="J271" s="1933"/>
      <c r="K271" s="1933"/>
      <c r="L271" s="1933"/>
      <c r="M271" s="1933"/>
      <c r="N271" s="1933"/>
      <c r="O271" s="1933"/>
      <c r="P271" s="1933"/>
      <c r="Q271" s="1933"/>
      <c r="R271" s="1933"/>
      <c r="S271" s="1933"/>
      <c r="T271" s="1933"/>
      <c r="U271" s="1933"/>
      <c r="V271" s="1933"/>
      <c r="W271" s="1933"/>
      <c r="X271" s="1933"/>
      <c r="Y271" s="1933"/>
      <c r="Z271" s="1933"/>
    </row>
    <row r="272" spans="1:26" ht="12" x14ac:dyDescent="0.2">
      <c r="A272" s="1933" t="str">
        <f>MID(Summary!$B$1,FIND(" ",Summary!$B$1,1)+1,4)</f>
        <v>2006</v>
      </c>
      <c r="B272" s="1933" t="s">
        <v>469</v>
      </c>
      <c r="C272" s="1933" t="s">
        <v>489</v>
      </c>
      <c r="D272" s="1936"/>
      <c r="E272" s="1933" t="s">
        <v>3</v>
      </c>
      <c r="F272" s="1933" t="s">
        <v>1756</v>
      </c>
      <c r="G272" s="1934">
        <f>Summary!D161</f>
        <v>0</v>
      </c>
      <c r="H272" s="1933"/>
      <c r="I272" s="1933"/>
      <c r="J272" s="1933"/>
      <c r="K272" s="1933"/>
      <c r="L272" s="1933"/>
      <c r="M272" s="1933"/>
      <c r="N272" s="1933"/>
      <c r="O272" s="1933"/>
      <c r="P272" s="1933"/>
      <c r="Q272" s="1933"/>
      <c r="R272" s="1933"/>
      <c r="S272" s="1933"/>
      <c r="T272" s="1933"/>
      <c r="U272" s="1933"/>
      <c r="V272" s="1933"/>
      <c r="W272" s="1933"/>
      <c r="X272" s="1933"/>
      <c r="Y272" s="1933"/>
      <c r="Z272" s="1933"/>
    </row>
    <row r="273" spans="1:26" ht="12" x14ac:dyDescent="0.2">
      <c r="A273" s="1933" t="str">
        <f>MID(Summary!$B$1,FIND(" ",Summary!$B$1,1)+1,4)</f>
        <v>2006</v>
      </c>
      <c r="B273" s="1933" t="s">
        <v>469</v>
      </c>
      <c r="C273" s="1933" t="s">
        <v>489</v>
      </c>
      <c r="D273" s="1936"/>
      <c r="E273" s="1933" t="s">
        <v>4</v>
      </c>
      <c r="F273" s="1933" t="s">
        <v>1756</v>
      </c>
      <c r="G273" s="1934">
        <f>Summary!D162</f>
        <v>1.5495923681185633</v>
      </c>
      <c r="H273" s="1933"/>
      <c r="I273" s="1933"/>
      <c r="J273" s="1933"/>
      <c r="K273" s="1933"/>
      <c r="L273" s="1933"/>
      <c r="M273" s="1933"/>
      <c r="N273" s="1933"/>
      <c r="O273" s="1933"/>
      <c r="P273" s="1933"/>
      <c r="Q273" s="1933"/>
      <c r="R273" s="1933"/>
      <c r="S273" s="1933"/>
      <c r="T273" s="1933"/>
      <c r="U273" s="1933"/>
      <c r="V273" s="1933"/>
      <c r="W273" s="1933"/>
      <c r="X273" s="1933"/>
      <c r="Y273" s="1933"/>
      <c r="Z273" s="1933"/>
    </row>
    <row r="274" spans="1:26" ht="12" x14ac:dyDescent="0.2">
      <c r="A274" s="1933" t="str">
        <f>MID(Summary!$B$1,FIND(" ",Summary!$B$1,1)+1,4)</f>
        <v>2006</v>
      </c>
      <c r="B274" s="1933" t="s">
        <v>469</v>
      </c>
      <c r="C274" s="1933" t="s">
        <v>489</v>
      </c>
      <c r="D274" s="1936"/>
      <c r="E274" s="1933" t="s">
        <v>5</v>
      </c>
      <c r="F274" s="1933" t="s">
        <v>1756</v>
      </c>
      <c r="G274" s="1934">
        <f>Summary!D163</f>
        <v>0.15062335396934279</v>
      </c>
      <c r="H274" s="1933"/>
      <c r="I274" s="1933"/>
      <c r="J274" s="1933"/>
      <c r="K274" s="1933"/>
      <c r="L274" s="1933"/>
      <c r="M274" s="1933"/>
      <c r="N274" s="1933"/>
      <c r="O274" s="1933"/>
      <c r="P274" s="1933"/>
      <c r="Q274" s="1933"/>
      <c r="R274" s="1933"/>
      <c r="S274" s="1933"/>
      <c r="T274" s="1933"/>
      <c r="U274" s="1933"/>
      <c r="V274" s="1933"/>
      <c r="W274" s="1933"/>
      <c r="X274" s="1933"/>
      <c r="Y274" s="1933"/>
      <c r="Z274" s="1933"/>
    </row>
    <row r="275" spans="1:26" ht="12" x14ac:dyDescent="0.2">
      <c r="A275" s="1933" t="str">
        <f>MID(Summary!$B$1,FIND(" ",Summary!$B$1,1)+1,4)</f>
        <v>2006</v>
      </c>
      <c r="B275" s="1933" t="s">
        <v>469</v>
      </c>
      <c r="C275" s="1933" t="s">
        <v>496</v>
      </c>
      <c r="D275" s="1936"/>
      <c r="E275" s="1933" t="s">
        <v>3</v>
      </c>
      <c r="F275" s="1933" t="s">
        <v>1756</v>
      </c>
      <c r="G275" s="1934">
        <f>Summary!D165</f>
        <v>3.3000000000000002E-2</v>
      </c>
      <c r="H275" s="1933"/>
      <c r="I275" s="1933"/>
      <c r="J275" s="1933"/>
      <c r="K275" s="1933"/>
      <c r="L275" s="1933"/>
      <c r="M275" s="1933"/>
      <c r="N275" s="1933"/>
      <c r="O275" s="1933"/>
      <c r="P275" s="1933"/>
      <c r="Q275" s="1933"/>
      <c r="R275" s="1933"/>
      <c r="S275" s="1933"/>
      <c r="T275" s="1933"/>
      <c r="U275" s="1933"/>
      <c r="V275" s="1933"/>
      <c r="W275" s="1933"/>
      <c r="X275" s="1933"/>
      <c r="Y275" s="1933"/>
      <c r="Z275" s="1933"/>
    </row>
    <row r="276" spans="1:26" ht="12" x14ac:dyDescent="0.2">
      <c r="A276" s="1933" t="str">
        <f>MID(Summary!$B$1,FIND(" ",Summary!$B$1,1)+1,4)</f>
        <v>2006</v>
      </c>
      <c r="B276" s="1933" t="s">
        <v>469</v>
      </c>
      <c r="C276" s="1933" t="s">
        <v>496</v>
      </c>
      <c r="D276" s="1936"/>
      <c r="E276" s="1933" t="s">
        <v>4</v>
      </c>
      <c r="F276" s="1933" t="s">
        <v>1756</v>
      </c>
      <c r="G276" s="1934">
        <f>Summary!D166</f>
        <v>0</v>
      </c>
      <c r="H276" s="1933"/>
      <c r="I276" s="1933"/>
      <c r="J276" s="1933"/>
      <c r="K276" s="1933"/>
      <c r="L276" s="1933"/>
      <c r="M276" s="1933"/>
      <c r="N276" s="1933"/>
      <c r="O276" s="1933"/>
      <c r="P276" s="1933"/>
      <c r="Q276" s="1933"/>
      <c r="R276" s="1933"/>
      <c r="S276" s="1933"/>
      <c r="T276" s="1933"/>
      <c r="U276" s="1933"/>
      <c r="V276" s="1933"/>
      <c r="W276" s="1933"/>
      <c r="X276" s="1933"/>
      <c r="Y276" s="1933"/>
      <c r="Z276" s="1933"/>
    </row>
    <row r="277" spans="1:26" ht="12" x14ac:dyDescent="0.2">
      <c r="A277" s="1933" t="str">
        <f>MID(Summary!$B$1,FIND(" ",Summary!$B$1,1)+1,4)</f>
        <v>2006</v>
      </c>
      <c r="B277" s="1933" t="s">
        <v>469</v>
      </c>
      <c r="C277" s="1933" t="s">
        <v>496</v>
      </c>
      <c r="D277" s="1936"/>
      <c r="E277" s="1933" t="s">
        <v>5</v>
      </c>
      <c r="F277" s="1933" t="s">
        <v>1756</v>
      </c>
      <c r="G277" s="1934">
        <f>Summary!D167</f>
        <v>0</v>
      </c>
      <c r="H277" s="1933"/>
      <c r="I277" s="1933"/>
      <c r="J277" s="1933"/>
      <c r="K277" s="1933"/>
      <c r="L277" s="1933"/>
      <c r="M277" s="1933"/>
      <c r="N277" s="1933"/>
      <c r="O277" s="1933"/>
      <c r="P277" s="1933"/>
      <c r="Q277" s="1933"/>
      <c r="R277" s="1933"/>
      <c r="S277" s="1933"/>
      <c r="T277" s="1933"/>
      <c r="U277" s="1933"/>
      <c r="V277" s="1933"/>
      <c r="W277" s="1933"/>
      <c r="X277" s="1933"/>
      <c r="Y277" s="1933"/>
      <c r="Z277" s="1933"/>
    </row>
    <row r="278" spans="1:26" ht="12" x14ac:dyDescent="0.2">
      <c r="A278" s="1933" t="str">
        <f>MID(Summary!$B$1,FIND(" ",Summary!$B$1,1)+1,4)</f>
        <v>2006</v>
      </c>
      <c r="B278" s="1933" t="s">
        <v>509</v>
      </c>
      <c r="C278" s="1933" t="s">
        <v>512</v>
      </c>
      <c r="D278" s="1936"/>
      <c r="E278" s="1933" t="s">
        <v>3</v>
      </c>
      <c r="F278" s="1933" t="s">
        <v>1754</v>
      </c>
      <c r="G278" s="1934">
        <f>Summary!E171</f>
        <v>-7.4954002019873522</v>
      </c>
      <c r="J278" s="1933"/>
      <c r="K278" s="1933"/>
      <c r="L278" s="1933"/>
      <c r="M278" s="1933"/>
      <c r="N278" s="1933"/>
      <c r="O278" s="1933"/>
      <c r="P278" s="1933"/>
      <c r="Q278" s="1933"/>
      <c r="R278" s="1933"/>
      <c r="S278" s="1933"/>
      <c r="T278" s="1933"/>
      <c r="U278" s="1933"/>
      <c r="V278" s="1933"/>
      <c r="W278" s="1933"/>
      <c r="X278" s="1933"/>
      <c r="Y278" s="1933"/>
      <c r="Z278" s="1933"/>
    </row>
    <row r="279" spans="1:26" ht="12" x14ac:dyDescent="0.2">
      <c r="A279" s="1933" t="str">
        <f>MID(Summary!$B$1,FIND(" ",Summary!$B$1,1)+1,4)</f>
        <v>2006</v>
      </c>
      <c r="B279" s="1933" t="s">
        <v>509</v>
      </c>
      <c r="C279" s="1933" t="s">
        <v>514</v>
      </c>
      <c r="D279" s="1936"/>
      <c r="E279" s="1933" t="s">
        <v>3</v>
      </c>
      <c r="F279" s="1933" t="s">
        <v>1754</v>
      </c>
      <c r="G279" s="1934">
        <f>Summary!E172</f>
        <v>-0.90467683894012485</v>
      </c>
      <c r="J279" s="1933"/>
      <c r="K279" s="1933"/>
      <c r="L279" s="1933"/>
      <c r="M279" s="1933"/>
      <c r="N279" s="1933"/>
      <c r="O279" s="1933"/>
      <c r="P279" s="1933"/>
      <c r="Q279" s="1933"/>
      <c r="R279" s="1933"/>
      <c r="S279" s="1933"/>
      <c r="T279" s="1933"/>
      <c r="U279" s="1933"/>
      <c r="V279" s="1933"/>
      <c r="W279" s="1933"/>
      <c r="X279" s="1933"/>
      <c r="Y279" s="1933"/>
      <c r="Z279" s="1933"/>
    </row>
    <row r="280" spans="1:26" ht="12" x14ac:dyDescent="0.2">
      <c r="A280" s="1933" t="str">
        <f>MID(Summary!$B$1,FIND(" ",Summary!$B$1,1)+1,4)</f>
        <v>2006</v>
      </c>
      <c r="B280" s="1933" t="s">
        <v>509</v>
      </c>
      <c r="C280" s="1933" t="s">
        <v>515</v>
      </c>
      <c r="D280" s="1936"/>
      <c r="E280" s="1933" t="s">
        <v>5</v>
      </c>
      <c r="F280" s="1933" t="s">
        <v>1754</v>
      </c>
      <c r="G280" s="1934">
        <f>Summary!E174</f>
        <v>2.010294E-2</v>
      </c>
      <c r="J280" s="1933"/>
      <c r="K280" s="1933"/>
      <c r="L280" s="1933"/>
      <c r="M280" s="1933"/>
      <c r="N280" s="1933"/>
      <c r="O280" s="1933"/>
      <c r="P280" s="1933"/>
      <c r="Q280" s="1933"/>
      <c r="R280" s="1933"/>
      <c r="S280" s="1933"/>
      <c r="T280" s="1933"/>
      <c r="U280" s="1933"/>
      <c r="V280" s="1933"/>
      <c r="W280" s="1933"/>
      <c r="X280" s="1933"/>
      <c r="Y280" s="1933"/>
      <c r="Z280" s="1933"/>
    </row>
    <row r="281" spans="1:26" ht="12" x14ac:dyDescent="0.2">
      <c r="A281" s="1933" t="str">
        <f>MID(Summary!$B$1,FIND(" ",Summary!$B$1,1)+1,4)</f>
        <v>2006</v>
      </c>
      <c r="B281" s="1933" t="s">
        <v>509</v>
      </c>
      <c r="C281" s="1933" t="s">
        <v>518</v>
      </c>
      <c r="D281" s="1936"/>
      <c r="E281" s="1933" t="s">
        <v>4</v>
      </c>
      <c r="F281" s="1933" t="s">
        <v>1754</v>
      </c>
      <c r="G281" s="1934">
        <f>Summary!E176</f>
        <v>3.6210260353939192E-2</v>
      </c>
      <c r="J281" s="1933"/>
      <c r="K281" s="1933"/>
      <c r="L281" s="1933"/>
      <c r="M281" s="1933"/>
      <c r="N281" s="1933"/>
      <c r="O281" s="1933"/>
      <c r="P281" s="1933"/>
      <c r="Q281" s="1933"/>
      <c r="R281" s="1933"/>
      <c r="S281" s="1933"/>
      <c r="T281" s="1933"/>
      <c r="U281" s="1933"/>
      <c r="V281" s="1933"/>
      <c r="W281" s="1933"/>
      <c r="X281" s="1933"/>
      <c r="Y281" s="1933"/>
      <c r="Z281" s="1933"/>
    </row>
    <row r="282" spans="1:26" ht="12" x14ac:dyDescent="0.2">
      <c r="A282" s="1933" t="str">
        <f>MID(Summary!$B$1,FIND(" ",Summary!$B$1,1)+1,4)</f>
        <v>2006</v>
      </c>
      <c r="B282" s="1933" t="s">
        <v>509</v>
      </c>
      <c r="C282" s="1933" t="s">
        <v>518</v>
      </c>
      <c r="D282" s="1936"/>
      <c r="E282" s="1933" t="s">
        <v>5</v>
      </c>
      <c r="F282" s="1933" t="s">
        <v>1754</v>
      </c>
      <c r="G282" s="1934">
        <f>Summary!E177</f>
        <v>1.0421042669856002E-2</v>
      </c>
      <c r="J282" s="1933"/>
      <c r="K282" s="1933"/>
      <c r="L282" s="1933"/>
      <c r="M282" s="1933"/>
      <c r="N282" s="1933"/>
      <c r="O282" s="1933"/>
      <c r="P282" s="1933"/>
      <c r="Q282" s="1933"/>
      <c r="R282" s="1933"/>
      <c r="S282" s="1933"/>
      <c r="T282" s="1933"/>
      <c r="U282" s="1933"/>
      <c r="V282" s="1933"/>
      <c r="W282" s="1933"/>
      <c r="X282" s="1933"/>
      <c r="Y282" s="1933"/>
      <c r="Z282" s="1933"/>
    </row>
    <row r="283" spans="1:26" ht="12" x14ac:dyDescent="0.2">
      <c r="A283" s="1933" t="str">
        <f>MID(Summary!$B$1,FIND(" ",Summary!$B$1,1)+1,4)</f>
        <v>2006</v>
      </c>
      <c r="B283" s="1933" t="s">
        <v>509</v>
      </c>
      <c r="C283" s="1933" t="s">
        <v>521</v>
      </c>
      <c r="D283" s="1936"/>
      <c r="E283" s="1933" t="s">
        <v>3</v>
      </c>
      <c r="F283" s="1933" t="s">
        <v>1754</v>
      </c>
      <c r="G283" s="1934">
        <f>Summary!E178</f>
        <v>-0.41589139400000003</v>
      </c>
      <c r="J283" s="1933"/>
      <c r="K283" s="1933"/>
      <c r="L283" s="1933"/>
      <c r="M283" s="1933"/>
      <c r="N283" s="1933"/>
      <c r="O283" s="1933"/>
      <c r="P283" s="1933"/>
      <c r="Q283" s="1933"/>
      <c r="R283" s="1933"/>
      <c r="S283" s="1933"/>
      <c r="T283" s="1933"/>
      <c r="U283" s="1933"/>
      <c r="V283" s="1933"/>
      <c r="W283" s="1933"/>
      <c r="X283" s="1933"/>
      <c r="Y283" s="1933"/>
      <c r="Z283" s="1933"/>
    </row>
    <row r="284" spans="1:26" ht="12" x14ac:dyDescent="0.2">
      <c r="A284" s="1933" t="str">
        <f>MID(Summary!$B$1,FIND(" ",Summary!$B$1,1)+1,4)</f>
        <v>2006</v>
      </c>
      <c r="B284" s="1933" t="s">
        <v>509</v>
      </c>
      <c r="C284" s="1933" t="s">
        <v>522</v>
      </c>
      <c r="D284" s="1936"/>
      <c r="E284" s="1933" t="s">
        <v>3</v>
      </c>
      <c r="F284" s="1933" t="s">
        <v>1754</v>
      </c>
      <c r="G284" s="1934">
        <f>Summary!E180</f>
        <v>-0.53596143811892671</v>
      </c>
      <c r="J284" s="1933"/>
      <c r="K284" s="1933"/>
      <c r="L284" s="1933"/>
      <c r="M284" s="1933"/>
      <c r="N284" s="1933"/>
      <c r="O284" s="1933"/>
      <c r="P284" s="1933"/>
      <c r="Q284" s="1933"/>
      <c r="R284" s="1933"/>
      <c r="S284" s="1933"/>
      <c r="T284" s="1933"/>
      <c r="U284" s="1933"/>
      <c r="V284" s="1933"/>
      <c r="W284" s="1933"/>
      <c r="X284" s="1933"/>
      <c r="Y284" s="1933"/>
      <c r="Z284" s="1933"/>
    </row>
    <row r="285" spans="1:26" ht="12" x14ac:dyDescent="0.2">
      <c r="A285" s="1933" t="str">
        <f>MID(Summary!$B$1,FIND(" ",Summary!$B$1,1)+1,4)</f>
        <v>2006</v>
      </c>
      <c r="B285" s="1933" t="s">
        <v>509</v>
      </c>
      <c r="C285" s="1933" t="s">
        <v>522</v>
      </c>
      <c r="D285" s="1936"/>
      <c r="E285" s="1933" t="s">
        <v>4</v>
      </c>
      <c r="F285" s="1933" t="s">
        <v>1754</v>
      </c>
      <c r="G285" s="1934">
        <f>Summary!E181</f>
        <v>0.2920498022937511</v>
      </c>
      <c r="J285" s="1933"/>
      <c r="K285" s="1933"/>
      <c r="L285" s="1933"/>
      <c r="M285" s="1933"/>
      <c r="N285" s="1933"/>
      <c r="O285" s="1933"/>
      <c r="P285" s="1933"/>
      <c r="Q285" s="1933"/>
      <c r="R285" s="1933"/>
      <c r="S285" s="1933"/>
      <c r="T285" s="1933"/>
      <c r="U285" s="1933"/>
      <c r="V285" s="1933"/>
      <c r="W285" s="1933"/>
      <c r="X285" s="1933"/>
      <c r="Y285" s="1933"/>
      <c r="Z285" s="1933"/>
    </row>
    <row r="286" spans="1:26" ht="12" x14ac:dyDescent="0.2">
      <c r="A286" s="1933" t="str">
        <f>MID(Summary!$B$1,FIND(" ",Summary!$B$1,1)+1,4)</f>
        <v>2006</v>
      </c>
      <c r="B286" s="1933" t="s">
        <v>509</v>
      </c>
      <c r="C286" s="1933" t="s">
        <v>512</v>
      </c>
      <c r="D286" s="1936"/>
      <c r="E286" s="1933" t="s">
        <v>3</v>
      </c>
      <c r="F286" s="1933" t="s">
        <v>1756</v>
      </c>
      <c r="G286" s="1934">
        <f>Summary!D171</f>
        <v>-7.4954002019873522</v>
      </c>
      <c r="H286" s="1933"/>
      <c r="I286" s="1933"/>
      <c r="J286" s="1933"/>
      <c r="K286" s="1933"/>
      <c r="L286" s="1933"/>
      <c r="M286" s="1933"/>
      <c r="N286" s="1933"/>
      <c r="O286" s="1933"/>
      <c r="P286" s="1933"/>
      <c r="Q286" s="1933"/>
      <c r="R286" s="1933"/>
      <c r="S286" s="1933"/>
      <c r="T286" s="1933"/>
      <c r="U286" s="1933"/>
      <c r="V286" s="1933"/>
      <c r="W286" s="1933"/>
      <c r="X286" s="1933"/>
      <c r="Y286" s="1933"/>
      <c r="Z286" s="1933"/>
    </row>
    <row r="287" spans="1:26" ht="12" x14ac:dyDescent="0.2">
      <c r="A287" s="1933" t="str">
        <f>MID(Summary!$B$1,FIND(" ",Summary!$B$1,1)+1,4)</f>
        <v>2006</v>
      </c>
      <c r="B287" s="1933" t="s">
        <v>509</v>
      </c>
      <c r="C287" s="1933" t="s">
        <v>514</v>
      </c>
      <c r="D287" s="1936"/>
      <c r="E287" s="1933" t="s">
        <v>3</v>
      </c>
      <c r="F287" s="1933" t="s">
        <v>1756</v>
      </c>
      <c r="G287" s="1934">
        <f>Summary!D172</f>
        <v>-0.90467683894012485</v>
      </c>
      <c r="H287" s="1933"/>
      <c r="I287" s="1933"/>
      <c r="J287" s="1933"/>
      <c r="K287" s="1933"/>
      <c r="L287" s="1933"/>
      <c r="M287" s="1933"/>
      <c r="N287" s="1933"/>
      <c r="O287" s="1933"/>
      <c r="P287" s="1933"/>
      <c r="Q287" s="1933"/>
      <c r="R287" s="1933"/>
      <c r="S287" s="1933"/>
      <c r="T287" s="1933"/>
      <c r="U287" s="1933"/>
      <c r="V287" s="1933"/>
      <c r="W287" s="1933"/>
      <c r="X287" s="1933"/>
      <c r="Y287" s="1933"/>
      <c r="Z287" s="1933"/>
    </row>
    <row r="288" spans="1:26" ht="12" x14ac:dyDescent="0.2">
      <c r="A288" s="1933" t="str">
        <f>MID(Summary!$B$1,FIND(" ",Summary!$B$1,1)+1,4)</f>
        <v>2006</v>
      </c>
      <c r="B288" s="1933" t="s">
        <v>509</v>
      </c>
      <c r="C288" s="1933" t="s">
        <v>515</v>
      </c>
      <c r="D288" s="1936"/>
      <c r="E288" s="1933" t="s">
        <v>5</v>
      </c>
      <c r="F288" s="1933" t="s">
        <v>1756</v>
      </c>
      <c r="G288" s="1934">
        <f>Summary!D174</f>
        <v>2.0102939999999996E-2</v>
      </c>
      <c r="H288" s="1933"/>
      <c r="I288" s="1933"/>
      <c r="J288" s="1933"/>
      <c r="K288" s="1933"/>
      <c r="L288" s="1933"/>
      <c r="M288" s="1933"/>
      <c r="N288" s="1933"/>
      <c r="O288" s="1933"/>
      <c r="P288" s="1933"/>
      <c r="Q288" s="1933"/>
      <c r="R288" s="1933"/>
      <c r="S288" s="1933"/>
      <c r="T288" s="1933"/>
      <c r="U288" s="1933"/>
      <c r="V288" s="1933"/>
      <c r="W288" s="1933"/>
      <c r="X288" s="1933"/>
      <c r="Y288" s="1933"/>
      <c r="Z288" s="1933"/>
    </row>
    <row r="289" spans="1:26" ht="12" x14ac:dyDescent="0.2">
      <c r="A289" s="1933" t="str">
        <f>MID(Summary!$B$1,FIND(" ",Summary!$B$1,1)+1,4)</f>
        <v>2006</v>
      </c>
      <c r="B289" s="1933" t="s">
        <v>509</v>
      </c>
      <c r="C289" s="1933" t="s">
        <v>518</v>
      </c>
      <c r="D289" s="1936"/>
      <c r="E289" s="1933" t="s">
        <v>4</v>
      </c>
      <c r="F289" s="1933" t="s">
        <v>1756</v>
      </c>
      <c r="G289" s="1934">
        <f>Summary!D176</f>
        <v>0.10538613407669759</v>
      </c>
      <c r="H289" s="1933"/>
      <c r="I289" s="1933"/>
      <c r="J289" s="1933"/>
      <c r="K289" s="1933"/>
      <c r="L289" s="1933"/>
      <c r="M289" s="1933"/>
      <c r="N289" s="1933"/>
      <c r="O289" s="1933"/>
      <c r="P289" s="1933"/>
      <c r="Q289" s="1933"/>
      <c r="R289" s="1933"/>
      <c r="S289" s="1933"/>
      <c r="T289" s="1933"/>
      <c r="U289" s="1933"/>
      <c r="V289" s="1933"/>
      <c r="W289" s="1933"/>
      <c r="X289" s="1933"/>
      <c r="Y289" s="1933"/>
      <c r="Z289" s="1933"/>
    </row>
    <row r="290" spans="1:26" ht="12" x14ac:dyDescent="0.2">
      <c r="A290" s="1933" t="str">
        <f>MID(Summary!$B$1,FIND(" ",Summary!$B$1,1)+1,4)</f>
        <v>2006</v>
      </c>
      <c r="B290" s="1933" t="s">
        <v>509</v>
      </c>
      <c r="C290" s="1933" t="s">
        <v>518</v>
      </c>
      <c r="D290" s="1936"/>
      <c r="E290" s="1933" t="s">
        <v>5</v>
      </c>
      <c r="F290" s="1933" t="s">
        <v>1756</v>
      </c>
      <c r="G290" s="1934">
        <f>Summary!D177</f>
        <v>1.0421042669856002E-2</v>
      </c>
      <c r="H290" s="1933"/>
      <c r="I290" s="1933"/>
      <c r="J290" s="1933"/>
      <c r="K290" s="1933"/>
      <c r="L290" s="1933"/>
      <c r="M290" s="1933"/>
      <c r="N290" s="1933"/>
      <c r="O290" s="1933"/>
      <c r="P290" s="1933"/>
      <c r="Q290" s="1933"/>
      <c r="R290" s="1933"/>
      <c r="S290" s="1933"/>
      <c r="T290" s="1933"/>
      <c r="U290" s="1933"/>
      <c r="V290" s="1933"/>
      <c r="W290" s="1933"/>
      <c r="X290" s="1933"/>
      <c r="Y290" s="1933"/>
      <c r="Z290" s="1933"/>
    </row>
    <row r="291" spans="1:26" ht="12" x14ac:dyDescent="0.2">
      <c r="A291" s="1933" t="str">
        <f>MID(Summary!$B$1,FIND(" ",Summary!$B$1,1)+1,4)</f>
        <v>2006</v>
      </c>
      <c r="B291" s="1933" t="s">
        <v>509</v>
      </c>
      <c r="C291" s="1933" t="s">
        <v>521</v>
      </c>
      <c r="D291" s="1936"/>
      <c r="E291" s="1933" t="s">
        <v>3</v>
      </c>
      <c r="F291" s="1933" t="s">
        <v>1756</v>
      </c>
      <c r="G291" s="1934">
        <f>Summary!D178</f>
        <v>-0.41589139400000003</v>
      </c>
      <c r="H291" s="1933"/>
      <c r="I291" s="1933"/>
      <c r="J291" s="1933"/>
      <c r="K291" s="1933"/>
      <c r="L291" s="1933"/>
      <c r="M291" s="1933"/>
      <c r="N291" s="1933"/>
      <c r="O291" s="1933"/>
      <c r="P291" s="1933"/>
      <c r="Q291" s="1933"/>
      <c r="R291" s="1933"/>
      <c r="S291" s="1933"/>
      <c r="T291" s="1933"/>
      <c r="U291" s="1933"/>
      <c r="V291" s="1933"/>
      <c r="W291" s="1933"/>
      <c r="X291" s="1933"/>
      <c r="Y291" s="1933"/>
      <c r="Z291" s="1933"/>
    </row>
    <row r="292" spans="1:26" ht="12" x14ac:dyDescent="0.2">
      <c r="A292" s="1933" t="str">
        <f>MID(Summary!$B$1,FIND(" ",Summary!$B$1,1)+1,4)</f>
        <v>2006</v>
      </c>
      <c r="B292" s="1933" t="s">
        <v>509</v>
      </c>
      <c r="C292" s="1933" t="s">
        <v>522</v>
      </c>
      <c r="D292" s="1936"/>
      <c r="E292" s="1933" t="s">
        <v>3</v>
      </c>
      <c r="F292" s="1933" t="s">
        <v>1756</v>
      </c>
      <c r="G292" s="1934">
        <f>Summary!D180</f>
        <v>-0.53596143811892671</v>
      </c>
      <c r="H292" s="1933"/>
      <c r="I292" s="1933"/>
      <c r="J292" s="1933"/>
      <c r="K292" s="1933"/>
      <c r="L292" s="1933"/>
      <c r="M292" s="1933"/>
      <c r="N292" s="1933"/>
      <c r="O292" s="1933"/>
      <c r="P292" s="1933"/>
      <c r="Q292" s="1933"/>
      <c r="R292" s="1933"/>
      <c r="S292" s="1933"/>
      <c r="T292" s="1933"/>
      <c r="U292" s="1933"/>
      <c r="V292" s="1933"/>
      <c r="W292" s="1933"/>
      <c r="X292" s="1933"/>
      <c r="Y292" s="1933"/>
      <c r="Z292" s="1933"/>
    </row>
    <row r="293" spans="1:26" ht="12" x14ac:dyDescent="0.2">
      <c r="A293" s="1933" t="str">
        <f>MID(Summary!$B$1,FIND(" ",Summary!$B$1,1)+1,4)</f>
        <v>2006</v>
      </c>
      <c r="B293" s="1933" t="s">
        <v>509</v>
      </c>
      <c r="C293" s="1933" t="s">
        <v>522</v>
      </c>
      <c r="D293" s="1936"/>
      <c r="E293" s="1933" t="s">
        <v>4</v>
      </c>
      <c r="F293" s="1933" t="s">
        <v>1756</v>
      </c>
      <c r="G293" s="1934">
        <f>Summary!D181</f>
        <v>0.84998006975815732</v>
      </c>
      <c r="H293" s="1933"/>
      <c r="I293" s="1933"/>
      <c r="J293" s="1933"/>
      <c r="K293" s="1933"/>
      <c r="L293" s="1933"/>
      <c r="M293" s="1933"/>
      <c r="N293" s="1933"/>
      <c r="O293" s="1933"/>
      <c r="P293" s="1933"/>
      <c r="Q293" s="1933"/>
      <c r="R293" s="1933"/>
      <c r="S293" s="1933"/>
      <c r="T293" s="1933"/>
      <c r="U293" s="1933"/>
      <c r="V293" s="1933"/>
      <c r="W293" s="1933"/>
      <c r="X293" s="1933"/>
      <c r="Y293" s="1933"/>
      <c r="Z293" s="1933"/>
    </row>
    <row r="294" spans="1:26" ht="12" x14ac:dyDescent="0.2">
      <c r="A294" s="1933"/>
      <c r="B294" s="1933"/>
      <c r="C294" s="1933"/>
      <c r="D294" s="1933"/>
      <c r="E294" s="1933"/>
      <c r="F294" s="1933"/>
      <c r="G294" s="1934"/>
      <c r="H294" s="1933"/>
      <c r="I294" s="1933"/>
      <c r="J294" s="1933"/>
      <c r="K294" s="1933"/>
      <c r="L294" s="1933"/>
      <c r="M294" s="1933"/>
      <c r="N294" s="1933"/>
      <c r="O294" s="1933"/>
      <c r="P294" s="1933"/>
      <c r="Q294" s="1933"/>
      <c r="R294" s="1933"/>
      <c r="S294" s="1933"/>
      <c r="T294" s="1933"/>
      <c r="U294" s="1933"/>
      <c r="V294" s="1933"/>
      <c r="W294" s="1933"/>
      <c r="X294" s="1933"/>
      <c r="Y294" s="1933"/>
      <c r="Z294" s="1933"/>
    </row>
    <row r="295" spans="1:26" ht="12" x14ac:dyDescent="0.2">
      <c r="A295" s="1933"/>
      <c r="B295" s="1933"/>
      <c r="C295" s="1933"/>
      <c r="D295" s="1933"/>
      <c r="E295" s="1933"/>
      <c r="F295" s="1933"/>
      <c r="G295" s="1934"/>
      <c r="H295" s="1933"/>
      <c r="I295" s="1933"/>
      <c r="J295" s="1933"/>
      <c r="K295" s="1933"/>
      <c r="L295" s="1933"/>
      <c r="M295" s="1933"/>
      <c r="N295" s="1933"/>
      <c r="O295" s="1933"/>
      <c r="P295" s="1933"/>
      <c r="Q295" s="1933"/>
      <c r="R295" s="1933"/>
      <c r="S295" s="1933"/>
      <c r="T295" s="1933"/>
      <c r="U295" s="1933"/>
      <c r="V295" s="1933"/>
      <c r="W295" s="1933"/>
      <c r="X295" s="1933"/>
      <c r="Y295" s="1933"/>
      <c r="Z295" s="1933"/>
    </row>
    <row r="296" spans="1:26" ht="12" x14ac:dyDescent="0.2">
      <c r="A296" s="1933"/>
      <c r="B296" s="1933"/>
      <c r="C296" s="1933"/>
      <c r="D296" s="1933"/>
      <c r="E296" s="1933"/>
      <c r="F296" s="1933"/>
      <c r="G296" s="1934"/>
      <c r="H296" s="1933"/>
      <c r="I296" s="1933"/>
      <c r="J296" s="1933"/>
      <c r="K296" s="1933"/>
      <c r="L296" s="1933"/>
      <c r="M296" s="1933"/>
      <c r="N296" s="1933"/>
      <c r="O296" s="1933"/>
      <c r="P296" s="1933"/>
      <c r="Q296" s="1933"/>
      <c r="R296" s="1933"/>
      <c r="S296" s="1933"/>
      <c r="T296" s="1933"/>
      <c r="U296" s="1933"/>
      <c r="V296" s="1933"/>
      <c r="W296" s="1933"/>
      <c r="X296" s="1933"/>
      <c r="Y296" s="1933"/>
      <c r="Z296" s="1933"/>
    </row>
    <row r="297" spans="1:26" ht="12" x14ac:dyDescent="0.2">
      <c r="A297" s="1933"/>
      <c r="B297" s="1933"/>
      <c r="C297" s="1933"/>
      <c r="D297" s="1933"/>
      <c r="E297" s="1933"/>
      <c r="F297" s="1933"/>
      <c r="G297" s="1934"/>
      <c r="H297" s="1933"/>
      <c r="I297" s="1933"/>
      <c r="J297" s="1933"/>
      <c r="K297" s="1933"/>
      <c r="L297" s="1933"/>
      <c r="M297" s="1933"/>
      <c r="N297" s="1933"/>
      <c r="O297" s="1933"/>
      <c r="P297" s="1933"/>
      <c r="Q297" s="1933"/>
      <c r="R297" s="1933"/>
      <c r="S297" s="1933"/>
      <c r="T297" s="1933"/>
      <c r="U297" s="1933"/>
      <c r="V297" s="1933"/>
      <c r="W297" s="1933"/>
      <c r="X297" s="1933"/>
      <c r="Y297" s="1933"/>
      <c r="Z297" s="1933"/>
    </row>
    <row r="298" spans="1:26" ht="12" x14ac:dyDescent="0.2">
      <c r="A298" s="1933"/>
      <c r="B298" s="1933"/>
      <c r="C298" s="1933"/>
      <c r="D298" s="1933"/>
      <c r="E298" s="1933"/>
      <c r="F298" s="1933"/>
      <c r="G298" s="1934"/>
      <c r="H298" s="1933"/>
      <c r="I298" s="1933"/>
      <c r="J298" s="1933"/>
      <c r="K298" s="1933"/>
      <c r="L298" s="1933"/>
      <c r="M298" s="1933"/>
      <c r="N298" s="1933"/>
      <c r="O298" s="1933"/>
      <c r="P298" s="1933"/>
      <c r="Q298" s="1933"/>
      <c r="R298" s="1933"/>
      <c r="S298" s="1933"/>
      <c r="T298" s="1933"/>
      <c r="U298" s="1933"/>
      <c r="V298" s="1933"/>
      <c r="W298" s="1933"/>
      <c r="X298" s="1933"/>
      <c r="Y298" s="1933"/>
      <c r="Z298" s="1933"/>
    </row>
    <row r="299" spans="1:26" ht="12" x14ac:dyDescent="0.2">
      <c r="A299" s="1933"/>
      <c r="B299" s="1933"/>
      <c r="C299" s="1933"/>
      <c r="D299" s="1933"/>
      <c r="E299" s="1933"/>
      <c r="F299" s="1933"/>
      <c r="G299" s="1934"/>
      <c r="H299" s="1933"/>
      <c r="I299" s="1933"/>
      <c r="J299" s="1933"/>
      <c r="K299" s="1933"/>
      <c r="L299" s="1933"/>
      <c r="M299" s="1933"/>
      <c r="N299" s="1933"/>
      <c r="O299" s="1933"/>
      <c r="P299" s="1933"/>
      <c r="Q299" s="1933"/>
      <c r="R299" s="1933"/>
      <c r="S299" s="1933"/>
      <c r="T299" s="1933"/>
      <c r="U299" s="1933"/>
      <c r="V299" s="1933"/>
      <c r="W299" s="1933"/>
      <c r="X299" s="1933"/>
      <c r="Y299" s="1933"/>
      <c r="Z299" s="1933"/>
    </row>
    <row r="300" spans="1:26" ht="12" x14ac:dyDescent="0.2">
      <c r="A300" s="1933"/>
      <c r="B300" s="1933"/>
      <c r="C300" s="1933"/>
      <c r="D300" s="1933"/>
      <c r="E300" s="1933"/>
      <c r="F300" s="1933"/>
      <c r="G300" s="1934"/>
      <c r="H300" s="1933"/>
      <c r="I300" s="1933"/>
      <c r="J300" s="1933"/>
      <c r="K300" s="1933"/>
      <c r="L300" s="1933"/>
      <c r="M300" s="1933"/>
      <c r="N300" s="1933"/>
      <c r="O300" s="1933"/>
      <c r="P300" s="1933"/>
      <c r="Q300" s="1933"/>
      <c r="R300" s="1933"/>
      <c r="S300" s="1933"/>
      <c r="T300" s="1933"/>
      <c r="U300" s="1933"/>
      <c r="V300" s="1933"/>
      <c r="W300" s="1933"/>
      <c r="X300" s="1933"/>
      <c r="Y300" s="1933"/>
      <c r="Z300" s="1933"/>
    </row>
    <row r="301" spans="1:26" ht="12" x14ac:dyDescent="0.2">
      <c r="A301" s="1933"/>
      <c r="B301" s="1933"/>
      <c r="C301" s="1933"/>
      <c r="D301" s="1933"/>
      <c r="E301" s="1933"/>
      <c r="F301" s="1933"/>
      <c r="G301" s="1934"/>
      <c r="H301" s="1933"/>
      <c r="I301" s="1933"/>
      <c r="J301" s="1933"/>
      <c r="K301" s="1933"/>
      <c r="L301" s="1933"/>
      <c r="M301" s="1933"/>
      <c r="N301" s="1933"/>
      <c r="O301" s="1933"/>
      <c r="P301" s="1933"/>
      <c r="Q301" s="1933"/>
      <c r="R301" s="1933"/>
      <c r="S301" s="1933"/>
      <c r="T301" s="1933"/>
      <c r="U301" s="1933"/>
      <c r="V301" s="1933"/>
      <c r="W301" s="1933"/>
      <c r="X301" s="1933"/>
      <c r="Y301" s="1933"/>
      <c r="Z301" s="1933"/>
    </row>
    <row r="302" spans="1:26" ht="12" x14ac:dyDescent="0.2">
      <c r="A302" s="1933"/>
      <c r="B302" s="1933"/>
      <c r="C302" s="1933"/>
      <c r="D302" s="1933"/>
      <c r="E302" s="1933"/>
      <c r="F302" s="1933"/>
      <c r="G302" s="1934"/>
      <c r="H302" s="1933"/>
      <c r="I302" s="1933"/>
      <c r="J302" s="1933"/>
      <c r="K302" s="1933"/>
      <c r="L302" s="1933"/>
      <c r="M302" s="1933"/>
      <c r="N302" s="1933"/>
      <c r="O302" s="1933"/>
      <c r="P302" s="1933"/>
      <c r="Q302" s="1933"/>
      <c r="R302" s="1933"/>
      <c r="S302" s="1933"/>
      <c r="T302" s="1933"/>
      <c r="U302" s="1933"/>
      <c r="V302" s="1933"/>
      <c r="W302" s="1933"/>
      <c r="X302" s="1933"/>
      <c r="Y302" s="1933"/>
      <c r="Z302" s="1933"/>
    </row>
    <row r="303" spans="1:26" ht="12" x14ac:dyDescent="0.2">
      <c r="A303" s="1933"/>
      <c r="B303" s="1933"/>
      <c r="C303" s="1933"/>
      <c r="D303" s="1933"/>
      <c r="E303" s="1933"/>
      <c r="F303" s="1933"/>
      <c r="G303" s="1934"/>
      <c r="H303" s="1933"/>
      <c r="I303" s="1933"/>
      <c r="J303" s="1933"/>
      <c r="K303" s="1933"/>
      <c r="L303" s="1933"/>
      <c r="M303" s="1933"/>
      <c r="N303" s="1933"/>
      <c r="O303" s="1933"/>
      <c r="P303" s="1933"/>
      <c r="Q303" s="1933"/>
      <c r="R303" s="1933"/>
      <c r="S303" s="1933"/>
      <c r="T303" s="1933"/>
      <c r="U303" s="1933"/>
      <c r="V303" s="1933"/>
      <c r="W303" s="1933"/>
      <c r="X303" s="1933"/>
      <c r="Y303" s="1933"/>
      <c r="Z303" s="1933"/>
    </row>
    <row r="304" spans="1:26" ht="12" x14ac:dyDescent="0.2">
      <c r="A304" s="1933"/>
      <c r="B304" s="1933"/>
      <c r="C304" s="1933"/>
      <c r="D304" s="1933"/>
      <c r="E304" s="1933"/>
      <c r="F304" s="1933"/>
      <c r="G304" s="1934"/>
      <c r="H304" s="1933"/>
      <c r="I304" s="1933"/>
      <c r="J304" s="1933"/>
      <c r="K304" s="1933"/>
      <c r="L304" s="1933"/>
      <c r="M304" s="1933"/>
      <c r="N304" s="1933"/>
      <c r="O304" s="1933"/>
      <c r="P304" s="1933"/>
      <c r="Q304" s="1933"/>
      <c r="R304" s="1933"/>
      <c r="S304" s="1933"/>
      <c r="T304" s="1933"/>
      <c r="U304" s="1933"/>
      <c r="V304" s="1933"/>
      <c r="W304" s="1933"/>
      <c r="X304" s="1933"/>
      <c r="Y304" s="1933"/>
      <c r="Z304" s="1933"/>
    </row>
    <row r="305" spans="1:26" ht="12" x14ac:dyDescent="0.2">
      <c r="A305" s="1933"/>
      <c r="B305" s="1933"/>
      <c r="C305" s="1933"/>
      <c r="D305" s="1933"/>
      <c r="E305" s="1933"/>
      <c r="F305" s="1933"/>
      <c r="G305" s="1934"/>
      <c r="H305" s="1933"/>
      <c r="I305" s="1933"/>
      <c r="J305" s="1933"/>
      <c r="K305" s="1933"/>
      <c r="L305" s="1933"/>
      <c r="M305" s="1933"/>
      <c r="N305" s="1933"/>
      <c r="O305" s="1933"/>
      <c r="P305" s="1933"/>
      <c r="Q305" s="1933"/>
      <c r="R305" s="1933"/>
      <c r="S305" s="1933"/>
      <c r="T305" s="1933"/>
      <c r="U305" s="1933"/>
      <c r="V305" s="1933"/>
      <c r="W305" s="1933"/>
      <c r="X305" s="1933"/>
      <c r="Y305" s="1933"/>
      <c r="Z305" s="1933"/>
    </row>
    <row r="306" spans="1:26" ht="12" x14ac:dyDescent="0.2">
      <c r="A306" s="1933"/>
      <c r="B306" s="1933"/>
      <c r="C306" s="1933"/>
      <c r="D306" s="1933"/>
      <c r="E306" s="1933"/>
      <c r="F306" s="1933"/>
      <c r="G306" s="1934"/>
      <c r="H306" s="1933"/>
      <c r="I306" s="1933"/>
      <c r="J306" s="1933"/>
      <c r="K306" s="1933"/>
      <c r="L306" s="1933"/>
      <c r="M306" s="1933"/>
      <c r="N306" s="1933"/>
      <c r="O306" s="1933"/>
      <c r="P306" s="1933"/>
      <c r="Q306" s="1933"/>
      <c r="R306" s="1933"/>
      <c r="S306" s="1933"/>
      <c r="T306" s="1933"/>
      <c r="U306" s="1933"/>
      <c r="V306" s="1933"/>
      <c r="W306" s="1933"/>
      <c r="X306" s="1933"/>
      <c r="Y306" s="1933"/>
      <c r="Z306" s="1933"/>
    </row>
    <row r="307" spans="1:26" ht="12" x14ac:dyDescent="0.2">
      <c r="A307" s="1933"/>
      <c r="B307" s="1933"/>
      <c r="C307" s="1933"/>
      <c r="D307" s="1933"/>
      <c r="E307" s="1933"/>
      <c r="F307" s="1933"/>
      <c r="G307" s="1934"/>
      <c r="H307" s="1933"/>
      <c r="I307" s="1933"/>
      <c r="J307" s="1933"/>
      <c r="K307" s="1933"/>
      <c r="L307" s="1933"/>
      <c r="M307" s="1933"/>
      <c r="N307" s="1933"/>
      <c r="O307" s="1933"/>
      <c r="P307" s="1933"/>
      <c r="Q307" s="1933"/>
      <c r="R307" s="1933"/>
      <c r="S307" s="1933"/>
      <c r="T307" s="1933"/>
      <c r="U307" s="1933"/>
      <c r="V307" s="1933"/>
      <c r="W307" s="1933"/>
      <c r="X307" s="1933"/>
      <c r="Y307" s="1933"/>
      <c r="Z307" s="1933"/>
    </row>
    <row r="308" spans="1:26" ht="12" x14ac:dyDescent="0.2">
      <c r="A308" s="1933"/>
      <c r="B308" s="1933"/>
      <c r="C308" s="1933"/>
      <c r="D308" s="1933"/>
      <c r="E308" s="1933"/>
      <c r="F308" s="1933"/>
      <c r="G308" s="1934"/>
      <c r="H308" s="1933"/>
      <c r="I308" s="1933"/>
      <c r="J308" s="1933"/>
      <c r="K308" s="1933"/>
      <c r="L308" s="1933"/>
      <c r="M308" s="1933"/>
      <c r="N308" s="1933"/>
      <c r="O308" s="1933"/>
      <c r="P308" s="1933"/>
      <c r="Q308" s="1933"/>
      <c r="R308" s="1933"/>
      <c r="S308" s="1933"/>
      <c r="T308" s="1933"/>
      <c r="U308" s="1933"/>
      <c r="V308" s="1933"/>
      <c r="W308" s="1933"/>
      <c r="X308" s="1933"/>
      <c r="Y308" s="1933"/>
      <c r="Z308" s="1933"/>
    </row>
    <row r="309" spans="1:26" ht="12" x14ac:dyDescent="0.2">
      <c r="A309" s="1933"/>
      <c r="B309" s="1933"/>
      <c r="C309" s="1933"/>
      <c r="D309" s="1933"/>
      <c r="E309" s="1933"/>
      <c r="F309" s="1933"/>
      <c r="G309" s="1934"/>
      <c r="H309" s="1933"/>
      <c r="I309" s="1933"/>
      <c r="J309" s="1933"/>
      <c r="K309" s="1933"/>
      <c r="L309" s="1933"/>
      <c r="M309" s="1933"/>
      <c r="N309" s="1933"/>
      <c r="O309" s="1933"/>
      <c r="P309" s="1933"/>
      <c r="Q309" s="1933"/>
      <c r="R309" s="1933"/>
      <c r="S309" s="1933"/>
      <c r="T309" s="1933"/>
      <c r="U309" s="1933"/>
      <c r="V309" s="1933"/>
      <c r="W309" s="1933"/>
      <c r="X309" s="1933"/>
      <c r="Y309" s="1933"/>
      <c r="Z309" s="1933"/>
    </row>
    <row r="310" spans="1:26" ht="12" x14ac:dyDescent="0.2">
      <c r="A310" s="1933"/>
      <c r="B310" s="1933"/>
      <c r="C310" s="1933"/>
      <c r="D310" s="1933"/>
      <c r="E310" s="1933"/>
      <c r="F310" s="1933"/>
      <c r="G310" s="1934"/>
      <c r="H310" s="1933"/>
      <c r="I310" s="1933"/>
      <c r="J310" s="1933"/>
      <c r="K310" s="1933"/>
      <c r="L310" s="1933"/>
      <c r="M310" s="1933"/>
      <c r="N310" s="1933"/>
      <c r="O310" s="1933"/>
      <c r="P310" s="1933"/>
      <c r="Q310" s="1933"/>
      <c r="R310" s="1933"/>
      <c r="S310" s="1933"/>
      <c r="T310" s="1933"/>
      <c r="U310" s="1933"/>
      <c r="V310" s="1933"/>
      <c r="W310" s="1933"/>
      <c r="X310" s="1933"/>
      <c r="Y310" s="1933"/>
      <c r="Z310" s="1933"/>
    </row>
    <row r="311" spans="1:26" ht="12" x14ac:dyDescent="0.2">
      <c r="A311" s="1933"/>
      <c r="B311" s="1933"/>
      <c r="C311" s="1933"/>
      <c r="D311" s="1933"/>
      <c r="E311" s="1933"/>
      <c r="F311" s="1933"/>
      <c r="G311" s="1934"/>
      <c r="H311" s="1933"/>
      <c r="I311" s="1933"/>
      <c r="J311" s="1933"/>
      <c r="K311" s="1933"/>
      <c r="L311" s="1933"/>
      <c r="M311" s="1933"/>
      <c r="N311" s="1933"/>
      <c r="O311" s="1933"/>
      <c r="P311" s="1933"/>
      <c r="Q311" s="1933"/>
      <c r="R311" s="1933"/>
      <c r="S311" s="1933"/>
      <c r="T311" s="1933"/>
      <c r="U311" s="1933"/>
      <c r="V311" s="1933"/>
      <c r="W311" s="1933"/>
      <c r="X311" s="1933"/>
      <c r="Y311" s="1933"/>
      <c r="Z311" s="1933"/>
    </row>
    <row r="312" spans="1:26" ht="12" x14ac:dyDescent="0.2">
      <c r="A312" s="1933"/>
      <c r="B312" s="1933"/>
      <c r="C312" s="1933"/>
      <c r="D312" s="1933"/>
      <c r="E312" s="1933"/>
      <c r="F312" s="1933"/>
      <c r="G312" s="1934"/>
      <c r="H312" s="1933"/>
      <c r="I312" s="1933"/>
      <c r="J312" s="1933"/>
      <c r="K312" s="1933"/>
      <c r="L312" s="1933"/>
      <c r="M312" s="1933"/>
      <c r="N312" s="1933"/>
      <c r="O312" s="1933"/>
      <c r="P312" s="1933"/>
      <c r="Q312" s="1933"/>
      <c r="R312" s="1933"/>
      <c r="S312" s="1933"/>
      <c r="T312" s="1933"/>
      <c r="U312" s="1933"/>
      <c r="V312" s="1933"/>
      <c r="W312" s="1933"/>
      <c r="X312" s="1933"/>
      <c r="Y312" s="1933"/>
      <c r="Z312" s="1933"/>
    </row>
    <row r="313" spans="1:26" ht="12" x14ac:dyDescent="0.2">
      <c r="A313" s="1933"/>
      <c r="B313" s="1933"/>
      <c r="C313" s="1933"/>
      <c r="D313" s="1933"/>
      <c r="E313" s="1933"/>
      <c r="F313" s="1933"/>
      <c r="G313" s="1934"/>
      <c r="H313" s="1933"/>
      <c r="I313" s="1933"/>
      <c r="J313" s="1933"/>
      <c r="K313" s="1933"/>
      <c r="L313" s="1933"/>
      <c r="M313" s="1933"/>
      <c r="N313" s="1933"/>
      <c r="O313" s="1933"/>
      <c r="P313" s="1933"/>
      <c r="Q313" s="1933"/>
      <c r="R313" s="1933"/>
      <c r="S313" s="1933"/>
      <c r="T313" s="1933"/>
      <c r="U313" s="1933"/>
      <c r="V313" s="1933"/>
      <c r="W313" s="1933"/>
      <c r="X313" s="1933"/>
      <c r="Y313" s="1933"/>
      <c r="Z313" s="1933"/>
    </row>
    <row r="314" spans="1:26" ht="12" x14ac:dyDescent="0.2">
      <c r="A314" s="1933"/>
      <c r="B314" s="1933"/>
      <c r="C314" s="1933"/>
      <c r="D314" s="1933"/>
      <c r="E314" s="1933"/>
      <c r="F314" s="1933"/>
      <c r="G314" s="1934"/>
      <c r="H314" s="1933"/>
      <c r="I314" s="1933"/>
      <c r="J314" s="1933"/>
      <c r="K314" s="1933"/>
      <c r="L314" s="1933"/>
      <c r="M314" s="1933"/>
      <c r="N314" s="1933"/>
      <c r="O314" s="1933"/>
      <c r="P314" s="1933"/>
      <c r="Q314" s="1933"/>
      <c r="R314" s="1933"/>
      <c r="S314" s="1933"/>
      <c r="T314" s="1933"/>
      <c r="U314" s="1933"/>
      <c r="V314" s="1933"/>
      <c r="W314" s="1933"/>
      <c r="X314" s="1933"/>
      <c r="Y314" s="1933"/>
      <c r="Z314" s="1933"/>
    </row>
    <row r="315" spans="1:26" ht="12" x14ac:dyDescent="0.2">
      <c r="A315" s="1933"/>
      <c r="B315" s="1933"/>
      <c r="C315" s="1933"/>
      <c r="D315" s="1933"/>
      <c r="E315" s="1933"/>
      <c r="F315" s="1933"/>
      <c r="G315" s="1934"/>
      <c r="H315" s="1933"/>
      <c r="I315" s="1933"/>
      <c r="J315" s="1933"/>
      <c r="K315" s="1933"/>
      <c r="L315" s="1933"/>
      <c r="M315" s="1933"/>
      <c r="N315" s="1933"/>
      <c r="O315" s="1933"/>
      <c r="P315" s="1933"/>
      <c r="Q315" s="1933"/>
      <c r="R315" s="1933"/>
      <c r="S315" s="1933"/>
      <c r="T315" s="1933"/>
      <c r="U315" s="1933"/>
      <c r="V315" s="1933"/>
      <c r="W315" s="1933"/>
      <c r="X315" s="1933"/>
      <c r="Y315" s="1933"/>
      <c r="Z315" s="1933"/>
    </row>
    <row r="316" spans="1:26" ht="12" x14ac:dyDescent="0.2">
      <c r="A316" s="1933"/>
      <c r="B316" s="1933"/>
      <c r="C316" s="1933"/>
      <c r="D316" s="1933"/>
      <c r="E316" s="1933"/>
      <c r="F316" s="1933"/>
      <c r="G316" s="1934"/>
      <c r="H316" s="1933"/>
      <c r="I316" s="1933"/>
      <c r="J316" s="1933"/>
      <c r="K316" s="1933"/>
      <c r="L316" s="1933"/>
      <c r="M316" s="1933"/>
      <c r="N316" s="1933"/>
      <c r="O316" s="1933"/>
      <c r="P316" s="1933"/>
      <c r="Q316" s="1933"/>
      <c r="R316" s="1933"/>
      <c r="S316" s="1933"/>
      <c r="T316" s="1933"/>
      <c r="U316" s="1933"/>
      <c r="V316" s="1933"/>
      <c r="W316" s="1933"/>
      <c r="X316" s="1933"/>
      <c r="Y316" s="1933"/>
      <c r="Z316" s="1933"/>
    </row>
    <row r="317" spans="1:26" ht="12" x14ac:dyDescent="0.2">
      <c r="A317" s="1933"/>
      <c r="B317" s="1933"/>
      <c r="C317" s="1933"/>
      <c r="D317" s="1933"/>
      <c r="E317" s="1933"/>
      <c r="F317" s="1933"/>
      <c r="G317" s="1934"/>
      <c r="H317" s="1933"/>
      <c r="I317" s="1933"/>
      <c r="J317" s="1933"/>
      <c r="K317" s="1933"/>
      <c r="L317" s="1933"/>
      <c r="M317" s="1933"/>
      <c r="N317" s="1933"/>
      <c r="O317" s="1933"/>
      <c r="P317" s="1933"/>
      <c r="Q317" s="1933"/>
      <c r="R317" s="1933"/>
      <c r="S317" s="1933"/>
      <c r="T317" s="1933"/>
      <c r="U317" s="1933"/>
      <c r="V317" s="1933"/>
      <c r="W317" s="1933"/>
      <c r="X317" s="1933"/>
      <c r="Y317" s="1933"/>
      <c r="Z317" s="1933"/>
    </row>
    <row r="318" spans="1:26" ht="12" x14ac:dyDescent="0.2">
      <c r="A318" s="1933"/>
      <c r="B318" s="1933"/>
      <c r="C318" s="1933"/>
      <c r="D318" s="1933"/>
      <c r="E318" s="1933"/>
      <c r="F318" s="1933"/>
      <c r="G318" s="1934"/>
      <c r="H318" s="1933"/>
      <c r="I318" s="1933"/>
      <c r="J318" s="1933"/>
      <c r="K318" s="1933"/>
      <c r="L318" s="1933"/>
      <c r="M318" s="1933"/>
      <c r="N318" s="1933"/>
      <c r="O318" s="1933"/>
      <c r="P318" s="1933"/>
      <c r="Q318" s="1933"/>
      <c r="R318" s="1933"/>
      <c r="S318" s="1933"/>
      <c r="T318" s="1933"/>
      <c r="U318" s="1933"/>
      <c r="V318" s="1933"/>
      <c r="W318" s="1933"/>
      <c r="X318" s="1933"/>
      <c r="Y318" s="1933"/>
      <c r="Z318" s="1933"/>
    </row>
    <row r="319" spans="1:26" ht="12" x14ac:dyDescent="0.2">
      <c r="A319" s="1933"/>
      <c r="B319" s="1933"/>
      <c r="C319" s="1933"/>
      <c r="D319" s="1933"/>
      <c r="E319" s="1933"/>
      <c r="F319" s="1933"/>
      <c r="G319" s="1934"/>
      <c r="H319" s="1933"/>
      <c r="I319" s="1933"/>
      <c r="J319" s="1933"/>
      <c r="K319" s="1933"/>
      <c r="L319" s="1933"/>
      <c r="M319" s="1933"/>
      <c r="N319" s="1933"/>
      <c r="O319" s="1933"/>
      <c r="P319" s="1933"/>
      <c r="Q319" s="1933"/>
      <c r="R319" s="1933"/>
      <c r="S319" s="1933"/>
      <c r="T319" s="1933"/>
      <c r="U319" s="1933"/>
      <c r="V319" s="1933"/>
      <c r="W319" s="1933"/>
      <c r="X319" s="1933"/>
      <c r="Y319" s="1933"/>
      <c r="Z319" s="1933"/>
    </row>
    <row r="320" spans="1:26" ht="12" x14ac:dyDescent="0.2">
      <c r="A320" s="1933"/>
      <c r="B320" s="1933"/>
      <c r="C320" s="1933"/>
      <c r="D320" s="1933"/>
      <c r="E320" s="1933"/>
      <c r="F320" s="1933"/>
      <c r="G320" s="1934"/>
      <c r="H320" s="1933"/>
      <c r="I320" s="1933"/>
      <c r="J320" s="1933"/>
      <c r="K320" s="1933"/>
      <c r="L320" s="1933"/>
      <c r="M320" s="1933"/>
      <c r="N320" s="1933"/>
      <c r="O320" s="1933"/>
      <c r="P320" s="1933"/>
      <c r="Q320" s="1933"/>
      <c r="R320" s="1933"/>
      <c r="S320" s="1933"/>
      <c r="T320" s="1933"/>
      <c r="U320" s="1933"/>
      <c r="V320" s="1933"/>
      <c r="W320" s="1933"/>
      <c r="X320" s="1933"/>
      <c r="Y320" s="1933"/>
      <c r="Z320" s="1933"/>
    </row>
    <row r="321" spans="1:26" ht="12" x14ac:dyDescent="0.2">
      <c r="A321" s="1933"/>
      <c r="B321" s="1933"/>
      <c r="C321" s="1933"/>
      <c r="D321" s="1933"/>
      <c r="E321" s="1933"/>
      <c r="F321" s="1933"/>
      <c r="G321" s="1934"/>
      <c r="H321" s="1933"/>
      <c r="I321" s="1933"/>
      <c r="J321" s="1933"/>
      <c r="K321" s="1933"/>
      <c r="L321" s="1933"/>
      <c r="M321" s="1933"/>
      <c r="N321" s="1933"/>
      <c r="O321" s="1933"/>
      <c r="P321" s="1933"/>
      <c r="Q321" s="1933"/>
      <c r="R321" s="1933"/>
      <c r="S321" s="1933"/>
      <c r="T321" s="1933"/>
      <c r="U321" s="1933"/>
      <c r="V321" s="1933"/>
      <c r="W321" s="1933"/>
      <c r="X321" s="1933"/>
      <c r="Y321" s="1933"/>
      <c r="Z321" s="1933"/>
    </row>
    <row r="322" spans="1:26" ht="12" x14ac:dyDescent="0.2">
      <c r="A322" s="1933"/>
      <c r="B322" s="1933"/>
      <c r="C322" s="1933"/>
      <c r="D322" s="1933"/>
      <c r="E322" s="1933"/>
      <c r="F322" s="1933"/>
      <c r="G322" s="1934"/>
      <c r="H322" s="1933"/>
      <c r="I322" s="1933"/>
      <c r="J322" s="1933"/>
      <c r="K322" s="1933"/>
      <c r="L322" s="1933"/>
      <c r="M322" s="1933"/>
      <c r="N322" s="1933"/>
      <c r="O322" s="1933"/>
      <c r="P322" s="1933"/>
      <c r="Q322" s="1933"/>
      <c r="R322" s="1933"/>
      <c r="S322" s="1933"/>
      <c r="T322" s="1933"/>
      <c r="U322" s="1933"/>
      <c r="V322" s="1933"/>
      <c r="W322" s="1933"/>
      <c r="X322" s="1933"/>
      <c r="Y322" s="1933"/>
      <c r="Z322" s="1933"/>
    </row>
    <row r="323" spans="1:26" ht="12" x14ac:dyDescent="0.2">
      <c r="A323" s="1933"/>
      <c r="B323" s="1933"/>
      <c r="C323" s="1933"/>
      <c r="D323" s="1933"/>
      <c r="E323" s="1933"/>
      <c r="F323" s="1933"/>
      <c r="G323" s="1934"/>
      <c r="H323" s="1933"/>
      <c r="I323" s="1933"/>
      <c r="J323" s="1933"/>
      <c r="K323" s="1933"/>
      <c r="L323" s="1933"/>
      <c r="M323" s="1933"/>
      <c r="N323" s="1933"/>
      <c r="O323" s="1933"/>
      <c r="P323" s="1933"/>
      <c r="Q323" s="1933"/>
      <c r="R323" s="1933"/>
      <c r="S323" s="1933"/>
      <c r="T323" s="1933"/>
      <c r="U323" s="1933"/>
      <c r="V323" s="1933"/>
      <c r="W323" s="1933"/>
      <c r="X323" s="1933"/>
      <c r="Y323" s="1933"/>
      <c r="Z323" s="1933"/>
    </row>
    <row r="324" spans="1:26" ht="12" x14ac:dyDescent="0.2">
      <c r="A324" s="1933"/>
      <c r="B324" s="1933"/>
      <c r="C324" s="1933"/>
      <c r="D324" s="1933"/>
      <c r="E324" s="1933"/>
      <c r="F324" s="1933"/>
      <c r="G324" s="1934"/>
      <c r="H324" s="1933"/>
      <c r="I324" s="1933"/>
      <c r="J324" s="1933"/>
      <c r="K324" s="1933"/>
      <c r="L324" s="1933"/>
      <c r="M324" s="1933"/>
      <c r="N324" s="1933"/>
      <c r="O324" s="1933"/>
      <c r="P324" s="1933"/>
      <c r="Q324" s="1933"/>
      <c r="R324" s="1933"/>
      <c r="S324" s="1933"/>
      <c r="T324" s="1933"/>
      <c r="U324" s="1933"/>
      <c r="V324" s="1933"/>
      <c r="W324" s="1933"/>
      <c r="X324" s="1933"/>
      <c r="Y324" s="1933"/>
      <c r="Z324" s="1933"/>
    </row>
    <row r="325" spans="1:26" ht="12" x14ac:dyDescent="0.2">
      <c r="A325" s="1933"/>
      <c r="B325" s="1933"/>
      <c r="C325" s="1933"/>
      <c r="D325" s="1933"/>
      <c r="E325" s="1933"/>
      <c r="F325" s="1933"/>
      <c r="G325" s="1934"/>
      <c r="H325" s="1933"/>
      <c r="I325" s="1933"/>
      <c r="J325" s="1933"/>
      <c r="K325" s="1933"/>
      <c r="L325" s="1933"/>
      <c r="M325" s="1933"/>
      <c r="N325" s="1933"/>
      <c r="O325" s="1933"/>
      <c r="P325" s="1933"/>
      <c r="Q325" s="1933"/>
      <c r="R325" s="1933"/>
      <c r="S325" s="1933"/>
      <c r="T325" s="1933"/>
      <c r="U325" s="1933"/>
      <c r="V325" s="1933"/>
      <c r="W325" s="1933"/>
      <c r="X325" s="1933"/>
      <c r="Y325" s="1933"/>
      <c r="Z325" s="1933"/>
    </row>
    <row r="326" spans="1:26" ht="12" x14ac:dyDescent="0.2">
      <c r="A326" s="1933"/>
      <c r="B326" s="1933"/>
      <c r="C326" s="1933"/>
      <c r="D326" s="1933"/>
      <c r="E326" s="1933"/>
      <c r="F326" s="1933"/>
      <c r="G326" s="1934"/>
      <c r="H326" s="1933"/>
      <c r="I326" s="1933"/>
      <c r="J326" s="1933"/>
      <c r="K326" s="1933"/>
      <c r="L326" s="1933"/>
      <c r="M326" s="1933"/>
      <c r="N326" s="1933"/>
      <c r="O326" s="1933"/>
      <c r="P326" s="1933"/>
      <c r="Q326" s="1933"/>
      <c r="R326" s="1933"/>
      <c r="S326" s="1933"/>
      <c r="T326" s="1933"/>
      <c r="U326" s="1933"/>
      <c r="V326" s="1933"/>
      <c r="W326" s="1933"/>
      <c r="X326" s="1933"/>
      <c r="Y326" s="1933"/>
      <c r="Z326" s="1933"/>
    </row>
    <row r="327" spans="1:26" ht="12" x14ac:dyDescent="0.2">
      <c r="A327" s="1933"/>
      <c r="B327" s="1933"/>
      <c r="C327" s="1933"/>
      <c r="D327" s="1933"/>
      <c r="E327" s="1933"/>
      <c r="F327" s="1933"/>
      <c r="G327" s="1934"/>
      <c r="H327" s="1933"/>
      <c r="I327" s="1933"/>
      <c r="J327" s="1933"/>
      <c r="K327" s="1933"/>
      <c r="L327" s="1933"/>
      <c r="M327" s="1933"/>
      <c r="N327" s="1933"/>
      <c r="O327" s="1933"/>
      <c r="P327" s="1933"/>
      <c r="Q327" s="1933"/>
      <c r="R327" s="1933"/>
      <c r="S327" s="1933"/>
      <c r="T327" s="1933"/>
      <c r="U327" s="1933"/>
      <c r="V327" s="1933"/>
      <c r="W327" s="1933"/>
      <c r="X327" s="1933"/>
      <c r="Y327" s="1933"/>
      <c r="Z327" s="1933"/>
    </row>
    <row r="328" spans="1:26" ht="12" x14ac:dyDescent="0.2">
      <c r="A328" s="1933"/>
      <c r="B328" s="1933"/>
      <c r="C328" s="1933"/>
      <c r="D328" s="1933"/>
      <c r="E328" s="1933"/>
      <c r="F328" s="1933"/>
      <c r="G328" s="1934"/>
      <c r="H328" s="1933"/>
      <c r="I328" s="1933"/>
      <c r="J328" s="1933"/>
      <c r="K328" s="1933"/>
      <c r="L328" s="1933"/>
      <c r="M328" s="1933"/>
      <c r="N328" s="1933"/>
      <c r="O328" s="1933"/>
      <c r="P328" s="1933"/>
      <c r="Q328" s="1933"/>
      <c r="R328" s="1933"/>
      <c r="S328" s="1933"/>
      <c r="T328" s="1933"/>
      <c r="U328" s="1933"/>
      <c r="V328" s="1933"/>
      <c r="W328" s="1933"/>
      <c r="X328" s="1933"/>
      <c r="Y328" s="1933"/>
      <c r="Z328" s="1933"/>
    </row>
    <row r="329" spans="1:26" ht="12" x14ac:dyDescent="0.2">
      <c r="A329" s="1933"/>
      <c r="B329" s="1933"/>
      <c r="C329" s="1933"/>
      <c r="D329" s="1933"/>
      <c r="E329" s="1933"/>
      <c r="F329" s="1933"/>
      <c r="G329" s="1934"/>
      <c r="H329" s="1933"/>
      <c r="I329" s="1933"/>
      <c r="J329" s="1933"/>
      <c r="K329" s="1933"/>
      <c r="L329" s="1933"/>
      <c r="M329" s="1933"/>
      <c r="N329" s="1933"/>
      <c r="O329" s="1933"/>
      <c r="P329" s="1933"/>
      <c r="Q329" s="1933"/>
      <c r="R329" s="1933"/>
      <c r="S329" s="1933"/>
      <c r="T329" s="1933"/>
      <c r="U329" s="1933"/>
      <c r="V329" s="1933"/>
      <c r="W329" s="1933"/>
      <c r="X329" s="1933"/>
      <c r="Y329" s="1933"/>
      <c r="Z329" s="1933"/>
    </row>
    <row r="330" spans="1:26" ht="12" x14ac:dyDescent="0.2">
      <c r="A330" s="1933"/>
      <c r="B330" s="1933"/>
      <c r="C330" s="1933"/>
      <c r="D330" s="1933"/>
      <c r="E330" s="1933"/>
      <c r="F330" s="1933"/>
      <c r="G330" s="1934"/>
      <c r="H330" s="1933"/>
      <c r="I330" s="1933"/>
      <c r="J330" s="1933"/>
      <c r="K330" s="1933"/>
      <c r="L330" s="1933"/>
      <c r="M330" s="1933"/>
      <c r="N330" s="1933"/>
      <c r="O330" s="1933"/>
      <c r="P330" s="1933"/>
      <c r="Q330" s="1933"/>
      <c r="R330" s="1933"/>
      <c r="S330" s="1933"/>
      <c r="T330" s="1933"/>
      <c r="U330" s="1933"/>
      <c r="V330" s="1933"/>
      <c r="W330" s="1933"/>
      <c r="X330" s="1933"/>
      <c r="Y330" s="1933"/>
      <c r="Z330" s="1933"/>
    </row>
    <row r="331" spans="1:26" ht="12" x14ac:dyDescent="0.2">
      <c r="A331" s="1933"/>
      <c r="B331" s="1933"/>
      <c r="C331" s="1933"/>
      <c r="D331" s="1933"/>
      <c r="E331" s="1933"/>
      <c r="F331" s="1933"/>
      <c r="G331" s="1934"/>
      <c r="H331" s="1933"/>
      <c r="I331" s="1933"/>
      <c r="J331" s="1933"/>
      <c r="K331" s="1933"/>
      <c r="L331" s="1933"/>
      <c r="M331" s="1933"/>
      <c r="N331" s="1933"/>
      <c r="O331" s="1933"/>
      <c r="P331" s="1933"/>
      <c r="Q331" s="1933"/>
      <c r="R331" s="1933"/>
      <c r="S331" s="1933"/>
      <c r="T331" s="1933"/>
      <c r="U331" s="1933"/>
      <c r="V331" s="1933"/>
      <c r="W331" s="1933"/>
      <c r="X331" s="1933"/>
      <c r="Y331" s="1933"/>
      <c r="Z331" s="1933"/>
    </row>
    <row r="332" spans="1:26" ht="12" x14ac:dyDescent="0.2">
      <c r="A332" s="1933"/>
      <c r="B332" s="1933"/>
      <c r="C332" s="1933"/>
      <c r="D332" s="1933"/>
      <c r="E332" s="1933"/>
      <c r="F332" s="1933"/>
      <c r="G332" s="1934"/>
      <c r="H332" s="1933"/>
      <c r="I332" s="1933"/>
      <c r="J332" s="1933"/>
      <c r="K332" s="1933"/>
      <c r="L332" s="1933"/>
      <c r="M332" s="1933"/>
      <c r="N332" s="1933"/>
      <c r="O332" s="1933"/>
      <c r="P332" s="1933"/>
      <c r="Q332" s="1933"/>
      <c r="R332" s="1933"/>
      <c r="S332" s="1933"/>
      <c r="T332" s="1933"/>
      <c r="U332" s="1933"/>
      <c r="V332" s="1933"/>
      <c r="W332" s="1933"/>
      <c r="X332" s="1933"/>
      <c r="Y332" s="1933"/>
      <c r="Z332" s="1933"/>
    </row>
    <row r="333" spans="1:26" ht="12" x14ac:dyDescent="0.2">
      <c r="A333" s="1933"/>
      <c r="B333" s="1933"/>
      <c r="C333" s="1933"/>
      <c r="D333" s="1933"/>
      <c r="E333" s="1933"/>
      <c r="F333" s="1933"/>
      <c r="G333" s="1934"/>
      <c r="H333" s="1933"/>
      <c r="I333" s="1933"/>
      <c r="J333" s="1933"/>
      <c r="K333" s="1933"/>
      <c r="L333" s="1933"/>
      <c r="M333" s="1933"/>
      <c r="N333" s="1933"/>
      <c r="O333" s="1933"/>
      <c r="P333" s="1933"/>
      <c r="Q333" s="1933"/>
      <c r="R333" s="1933"/>
      <c r="S333" s="1933"/>
      <c r="T333" s="1933"/>
      <c r="U333" s="1933"/>
      <c r="V333" s="1933"/>
      <c r="W333" s="1933"/>
      <c r="X333" s="1933"/>
      <c r="Y333" s="1933"/>
      <c r="Z333" s="1933"/>
    </row>
    <row r="334" spans="1:26" ht="12" x14ac:dyDescent="0.2">
      <c r="A334" s="1933"/>
      <c r="B334" s="1933"/>
      <c r="C334" s="1933"/>
      <c r="D334" s="1933"/>
      <c r="E334" s="1933"/>
      <c r="F334" s="1933"/>
      <c r="G334" s="1934"/>
      <c r="H334" s="1933"/>
      <c r="I334" s="1933"/>
      <c r="J334" s="1933"/>
      <c r="K334" s="1933"/>
      <c r="L334" s="1933"/>
      <c r="M334" s="1933"/>
      <c r="N334" s="1933"/>
      <c r="O334" s="1933"/>
      <c r="P334" s="1933"/>
      <c r="Q334" s="1933"/>
      <c r="R334" s="1933"/>
      <c r="S334" s="1933"/>
      <c r="T334" s="1933"/>
      <c r="U334" s="1933"/>
      <c r="V334" s="1933"/>
      <c r="W334" s="1933"/>
      <c r="X334" s="1933"/>
      <c r="Y334" s="1933"/>
      <c r="Z334" s="1933"/>
    </row>
    <row r="335" spans="1:26" ht="12" x14ac:dyDescent="0.2">
      <c r="A335" s="1933"/>
      <c r="B335" s="1933"/>
      <c r="C335" s="1933"/>
      <c r="D335" s="1933"/>
      <c r="E335" s="1933"/>
      <c r="F335" s="1933"/>
      <c r="G335" s="1934"/>
      <c r="H335" s="1933"/>
      <c r="I335" s="1933"/>
      <c r="J335" s="1933"/>
      <c r="K335" s="1933"/>
      <c r="L335" s="1933"/>
      <c r="M335" s="1933"/>
      <c r="N335" s="1933"/>
      <c r="O335" s="1933"/>
      <c r="P335" s="1933"/>
      <c r="Q335" s="1933"/>
      <c r="R335" s="1933"/>
      <c r="S335" s="1933"/>
      <c r="T335" s="1933"/>
      <c r="U335" s="1933"/>
      <c r="V335" s="1933"/>
      <c r="W335" s="1933"/>
      <c r="X335" s="1933"/>
      <c r="Y335" s="1933"/>
      <c r="Z335" s="1933"/>
    </row>
    <row r="336" spans="1:26" ht="12" x14ac:dyDescent="0.2">
      <c r="A336" s="1933"/>
      <c r="B336" s="1933"/>
      <c r="C336" s="1933"/>
      <c r="D336" s="1933"/>
      <c r="E336" s="1933"/>
      <c r="F336" s="1933"/>
      <c r="G336" s="1934"/>
      <c r="H336" s="1933"/>
      <c r="I336" s="1933"/>
      <c r="J336" s="1933"/>
      <c r="K336" s="1933"/>
      <c r="L336" s="1933"/>
      <c r="M336" s="1933"/>
      <c r="N336" s="1933"/>
      <c r="O336" s="1933"/>
      <c r="P336" s="1933"/>
      <c r="Q336" s="1933"/>
      <c r="R336" s="1933"/>
      <c r="S336" s="1933"/>
      <c r="T336" s="1933"/>
      <c r="U336" s="1933"/>
      <c r="V336" s="1933"/>
      <c r="W336" s="1933"/>
      <c r="X336" s="1933"/>
      <c r="Y336" s="1933"/>
      <c r="Z336" s="1933"/>
    </row>
    <row r="337" spans="1:26" ht="12" x14ac:dyDescent="0.2">
      <c r="A337" s="1933"/>
      <c r="B337" s="1933"/>
      <c r="C337" s="1933"/>
      <c r="D337" s="1933"/>
      <c r="E337" s="1933"/>
      <c r="F337" s="1933"/>
      <c r="G337" s="1934"/>
      <c r="H337" s="1933"/>
      <c r="I337" s="1933"/>
      <c r="J337" s="1933"/>
      <c r="K337" s="1933"/>
      <c r="L337" s="1933"/>
      <c r="M337" s="1933"/>
      <c r="N337" s="1933"/>
      <c r="O337" s="1933"/>
      <c r="P337" s="1933"/>
      <c r="Q337" s="1933"/>
      <c r="R337" s="1933"/>
      <c r="S337" s="1933"/>
      <c r="T337" s="1933"/>
      <c r="U337" s="1933"/>
      <c r="V337" s="1933"/>
      <c r="W337" s="1933"/>
      <c r="X337" s="1933"/>
      <c r="Y337" s="1933"/>
      <c r="Z337" s="1933"/>
    </row>
    <row r="338" spans="1:26" ht="12" x14ac:dyDescent="0.2">
      <c r="A338" s="1933"/>
      <c r="B338" s="1933"/>
      <c r="C338" s="1933"/>
      <c r="D338" s="1933"/>
      <c r="E338" s="1933"/>
      <c r="F338" s="1933"/>
      <c r="G338" s="1934"/>
      <c r="H338" s="1933"/>
      <c r="I338" s="1933"/>
      <c r="J338" s="1933"/>
      <c r="K338" s="1933"/>
      <c r="L338" s="1933"/>
      <c r="M338" s="1933"/>
      <c r="N338" s="1933"/>
      <c r="O338" s="1933"/>
      <c r="P338" s="1933"/>
      <c r="Q338" s="1933"/>
      <c r="R338" s="1933"/>
      <c r="S338" s="1933"/>
      <c r="T338" s="1933"/>
      <c r="U338" s="1933"/>
      <c r="V338" s="1933"/>
      <c r="W338" s="1933"/>
      <c r="X338" s="1933"/>
      <c r="Y338" s="1933"/>
      <c r="Z338" s="1933"/>
    </row>
    <row r="339" spans="1:26" ht="12" x14ac:dyDescent="0.2">
      <c r="A339" s="1933"/>
      <c r="B339" s="1933"/>
      <c r="C339" s="1933"/>
      <c r="D339" s="1933"/>
      <c r="E339" s="1933"/>
      <c r="F339" s="1933"/>
      <c r="G339" s="1934"/>
      <c r="H339" s="1933"/>
      <c r="I339" s="1933"/>
      <c r="J339" s="1933"/>
      <c r="K339" s="1933"/>
      <c r="L339" s="1933"/>
      <c r="M339" s="1933"/>
      <c r="N339" s="1933"/>
      <c r="O339" s="1933"/>
      <c r="P339" s="1933"/>
      <c r="Q339" s="1933"/>
      <c r="R339" s="1933"/>
      <c r="S339" s="1933"/>
      <c r="T339" s="1933"/>
      <c r="U339" s="1933"/>
      <c r="V339" s="1933"/>
      <c r="W339" s="1933"/>
      <c r="X339" s="1933"/>
      <c r="Y339" s="1933"/>
      <c r="Z339" s="1933"/>
    </row>
    <row r="340" spans="1:26" ht="12" x14ac:dyDescent="0.2">
      <c r="A340" s="1933"/>
      <c r="B340" s="1933"/>
      <c r="C340" s="1933"/>
      <c r="D340" s="1933"/>
      <c r="E340" s="1933"/>
      <c r="F340" s="1933"/>
      <c r="G340" s="1934"/>
      <c r="H340" s="1933"/>
      <c r="I340" s="1933"/>
      <c r="J340" s="1933"/>
      <c r="K340" s="1933"/>
      <c r="L340" s="1933"/>
      <c r="M340" s="1933"/>
      <c r="N340" s="1933"/>
      <c r="O340" s="1933"/>
      <c r="P340" s="1933"/>
      <c r="Q340" s="1933"/>
      <c r="R340" s="1933"/>
      <c r="S340" s="1933"/>
      <c r="T340" s="1933"/>
      <c r="U340" s="1933"/>
      <c r="V340" s="1933"/>
      <c r="W340" s="1933"/>
      <c r="X340" s="1933"/>
      <c r="Y340" s="1933"/>
      <c r="Z340" s="1933"/>
    </row>
    <row r="341" spans="1:26" ht="12" x14ac:dyDescent="0.2">
      <c r="A341" s="1933"/>
      <c r="B341" s="1933"/>
      <c r="C341" s="1933"/>
      <c r="D341" s="1933"/>
      <c r="E341" s="1933"/>
      <c r="F341" s="1933"/>
      <c r="G341" s="1934"/>
      <c r="H341" s="1933"/>
      <c r="I341" s="1933"/>
      <c r="J341" s="1933"/>
      <c r="K341" s="1933"/>
      <c r="L341" s="1933"/>
      <c r="M341" s="1933"/>
      <c r="N341" s="1933"/>
      <c r="O341" s="1933"/>
      <c r="P341" s="1933"/>
      <c r="Q341" s="1933"/>
      <c r="R341" s="1933"/>
      <c r="S341" s="1933"/>
      <c r="T341" s="1933"/>
      <c r="U341" s="1933"/>
      <c r="V341" s="1933"/>
      <c r="W341" s="1933"/>
      <c r="X341" s="1933"/>
      <c r="Y341" s="1933"/>
      <c r="Z341" s="1933"/>
    </row>
    <row r="342" spans="1:26" ht="12" x14ac:dyDescent="0.2">
      <c r="A342" s="1933"/>
      <c r="B342" s="1933"/>
      <c r="C342" s="1933"/>
      <c r="D342" s="1933"/>
      <c r="E342" s="1933"/>
      <c r="F342" s="1933"/>
      <c r="G342" s="1934"/>
      <c r="H342" s="1933"/>
      <c r="I342" s="1933"/>
      <c r="J342" s="1933"/>
      <c r="K342" s="1933"/>
      <c r="L342" s="1933"/>
      <c r="M342" s="1933"/>
      <c r="N342" s="1933"/>
      <c r="O342" s="1933"/>
      <c r="P342" s="1933"/>
      <c r="Q342" s="1933"/>
      <c r="R342" s="1933"/>
      <c r="S342" s="1933"/>
      <c r="T342" s="1933"/>
      <c r="U342" s="1933"/>
      <c r="V342" s="1933"/>
      <c r="W342" s="1933"/>
      <c r="X342" s="1933"/>
      <c r="Y342" s="1933"/>
      <c r="Z342" s="1933"/>
    </row>
    <row r="343" spans="1:26" ht="12" x14ac:dyDescent="0.2">
      <c r="A343" s="1933"/>
      <c r="B343" s="1933"/>
      <c r="C343" s="1933"/>
      <c r="D343" s="1933"/>
      <c r="E343" s="1933"/>
      <c r="F343" s="1933"/>
      <c r="G343" s="1934"/>
      <c r="H343" s="1933"/>
      <c r="I343" s="1933"/>
      <c r="J343" s="1933"/>
      <c r="K343" s="1933"/>
      <c r="L343" s="1933"/>
      <c r="M343" s="1933"/>
      <c r="N343" s="1933"/>
      <c r="O343" s="1933"/>
      <c r="P343" s="1933"/>
      <c r="Q343" s="1933"/>
      <c r="R343" s="1933"/>
      <c r="S343" s="1933"/>
      <c r="T343" s="1933"/>
      <c r="U343" s="1933"/>
      <c r="V343" s="1933"/>
      <c r="W343" s="1933"/>
      <c r="X343" s="1933"/>
      <c r="Y343" s="1933"/>
      <c r="Z343" s="1933"/>
    </row>
    <row r="344" spans="1:26" ht="12" x14ac:dyDescent="0.2">
      <c r="A344" s="1933"/>
      <c r="B344" s="1933"/>
      <c r="C344" s="1933"/>
      <c r="D344" s="1933"/>
      <c r="E344" s="1933"/>
      <c r="F344" s="1933"/>
      <c r="G344" s="1934"/>
      <c r="H344" s="1933"/>
      <c r="I344" s="1933"/>
      <c r="J344" s="1933"/>
      <c r="K344" s="1933"/>
      <c r="L344" s="1933"/>
      <c r="M344" s="1933"/>
      <c r="N344" s="1933"/>
      <c r="O344" s="1933"/>
      <c r="P344" s="1933"/>
      <c r="Q344" s="1933"/>
      <c r="R344" s="1933"/>
      <c r="S344" s="1933"/>
      <c r="T344" s="1933"/>
      <c r="U344" s="1933"/>
      <c r="V344" s="1933"/>
      <c r="W344" s="1933"/>
      <c r="X344" s="1933"/>
      <c r="Y344" s="1933"/>
      <c r="Z344" s="1933"/>
    </row>
    <row r="345" spans="1:26" ht="12" x14ac:dyDescent="0.2">
      <c r="A345" s="1933"/>
      <c r="B345" s="1933"/>
      <c r="C345" s="1933"/>
      <c r="D345" s="1933"/>
      <c r="E345" s="1933"/>
      <c r="F345" s="1933"/>
      <c r="G345" s="1934"/>
      <c r="H345" s="1933"/>
      <c r="I345" s="1933"/>
      <c r="J345" s="1933"/>
      <c r="K345" s="1933"/>
      <c r="L345" s="1933"/>
      <c r="M345" s="1933"/>
      <c r="N345" s="1933"/>
      <c r="O345" s="1933"/>
      <c r="P345" s="1933"/>
      <c r="Q345" s="1933"/>
      <c r="R345" s="1933"/>
      <c r="S345" s="1933"/>
      <c r="T345" s="1933"/>
      <c r="U345" s="1933"/>
      <c r="V345" s="1933"/>
      <c r="W345" s="1933"/>
      <c r="X345" s="1933"/>
      <c r="Y345" s="1933"/>
      <c r="Z345" s="1933"/>
    </row>
    <row r="346" spans="1:26" ht="12" x14ac:dyDescent="0.2">
      <c r="A346" s="1933"/>
      <c r="B346" s="1933"/>
      <c r="C346" s="1933"/>
      <c r="D346" s="1933"/>
      <c r="E346" s="1933"/>
      <c r="F346" s="1933"/>
      <c r="G346" s="1934"/>
      <c r="H346" s="1933"/>
      <c r="I346" s="1933"/>
      <c r="J346" s="1933"/>
      <c r="K346" s="1933"/>
      <c r="L346" s="1933"/>
      <c r="M346" s="1933"/>
      <c r="N346" s="1933"/>
      <c r="O346" s="1933"/>
      <c r="P346" s="1933"/>
      <c r="Q346" s="1933"/>
      <c r="R346" s="1933"/>
      <c r="S346" s="1933"/>
      <c r="T346" s="1933"/>
      <c r="U346" s="1933"/>
      <c r="V346" s="1933"/>
      <c r="W346" s="1933"/>
      <c r="X346" s="1933"/>
      <c r="Y346" s="1933"/>
      <c r="Z346" s="1933"/>
    </row>
    <row r="347" spans="1:26" ht="12" x14ac:dyDescent="0.2">
      <c r="A347" s="1933"/>
      <c r="B347" s="1933"/>
      <c r="C347" s="1933"/>
      <c r="D347" s="1933"/>
      <c r="E347" s="1933"/>
      <c r="F347" s="1933"/>
      <c r="G347" s="1934"/>
      <c r="H347" s="1933"/>
      <c r="I347" s="1933"/>
      <c r="J347" s="1933"/>
      <c r="K347" s="1933"/>
      <c r="L347" s="1933"/>
      <c r="M347" s="1933"/>
      <c r="N347" s="1933"/>
      <c r="O347" s="1933"/>
      <c r="P347" s="1933"/>
      <c r="Q347" s="1933"/>
      <c r="R347" s="1933"/>
      <c r="S347" s="1933"/>
      <c r="T347" s="1933"/>
      <c r="U347" s="1933"/>
      <c r="V347" s="1933"/>
      <c r="W347" s="1933"/>
      <c r="X347" s="1933"/>
      <c r="Y347" s="1933"/>
      <c r="Z347" s="1933"/>
    </row>
    <row r="348" spans="1:26" ht="12" x14ac:dyDescent="0.2">
      <c r="A348" s="1933"/>
      <c r="B348" s="1933"/>
      <c r="C348" s="1933"/>
      <c r="D348" s="1933"/>
      <c r="E348" s="1933"/>
      <c r="F348" s="1933"/>
      <c r="G348" s="1934"/>
      <c r="H348" s="1933"/>
      <c r="I348" s="1933"/>
      <c r="J348" s="1933"/>
      <c r="K348" s="1933"/>
      <c r="L348" s="1933"/>
      <c r="M348" s="1933"/>
      <c r="N348" s="1933"/>
      <c r="O348" s="1933"/>
      <c r="P348" s="1933"/>
      <c r="Q348" s="1933"/>
      <c r="R348" s="1933"/>
      <c r="S348" s="1933"/>
      <c r="T348" s="1933"/>
      <c r="U348" s="1933"/>
      <c r="V348" s="1933"/>
      <c r="W348" s="1933"/>
      <c r="X348" s="1933"/>
      <c r="Y348" s="1933"/>
      <c r="Z348" s="1933"/>
    </row>
    <row r="349" spans="1:26" ht="12" x14ac:dyDescent="0.2">
      <c r="A349" s="1933"/>
      <c r="B349" s="1933"/>
      <c r="C349" s="1933"/>
      <c r="D349" s="1933"/>
      <c r="E349" s="1933"/>
      <c r="F349" s="1933"/>
      <c r="G349" s="1934"/>
      <c r="H349" s="1933"/>
      <c r="I349" s="1933"/>
      <c r="J349" s="1933"/>
      <c r="K349" s="1933"/>
      <c r="L349" s="1933"/>
      <c r="M349" s="1933"/>
      <c r="N349" s="1933"/>
      <c r="O349" s="1933"/>
      <c r="P349" s="1933"/>
      <c r="Q349" s="1933"/>
      <c r="R349" s="1933"/>
      <c r="S349" s="1933"/>
      <c r="T349" s="1933"/>
      <c r="U349" s="1933"/>
      <c r="V349" s="1933"/>
      <c r="W349" s="1933"/>
      <c r="X349" s="1933"/>
      <c r="Y349" s="1933"/>
      <c r="Z349" s="1933"/>
    </row>
    <row r="350" spans="1:26" ht="12" x14ac:dyDescent="0.2">
      <c r="A350" s="1933"/>
      <c r="B350" s="1933"/>
      <c r="C350" s="1933"/>
      <c r="D350" s="1933"/>
      <c r="E350" s="1933"/>
      <c r="F350" s="1933"/>
      <c r="G350" s="1934"/>
      <c r="H350" s="1933"/>
      <c r="I350" s="1933"/>
      <c r="J350" s="1933"/>
      <c r="K350" s="1933"/>
      <c r="L350" s="1933"/>
      <c r="M350" s="1933"/>
      <c r="N350" s="1933"/>
      <c r="O350" s="1933"/>
      <c r="P350" s="1933"/>
      <c r="Q350" s="1933"/>
      <c r="R350" s="1933"/>
      <c r="S350" s="1933"/>
      <c r="T350" s="1933"/>
      <c r="U350" s="1933"/>
      <c r="V350" s="1933"/>
      <c r="W350" s="1933"/>
      <c r="X350" s="1933"/>
      <c r="Y350" s="1933"/>
      <c r="Z350" s="1933"/>
    </row>
    <row r="351" spans="1:26" ht="12" x14ac:dyDescent="0.2">
      <c r="A351" s="1933"/>
      <c r="B351" s="1933"/>
      <c r="C351" s="1933"/>
      <c r="D351" s="1933"/>
      <c r="E351" s="1933"/>
      <c r="F351" s="1933"/>
      <c r="G351" s="1934"/>
      <c r="H351" s="1933"/>
      <c r="I351" s="1933"/>
      <c r="J351" s="1933"/>
      <c r="K351" s="1933"/>
      <c r="L351" s="1933"/>
      <c r="M351" s="1933"/>
      <c r="N351" s="1933"/>
      <c r="O351" s="1933"/>
      <c r="P351" s="1933"/>
      <c r="Q351" s="1933"/>
      <c r="R351" s="1933"/>
      <c r="S351" s="1933"/>
      <c r="T351" s="1933"/>
      <c r="U351" s="1933"/>
      <c r="V351" s="1933"/>
      <c r="W351" s="1933"/>
      <c r="X351" s="1933"/>
      <c r="Y351" s="1933"/>
      <c r="Z351" s="1933"/>
    </row>
    <row r="352" spans="1:26" ht="12" x14ac:dyDescent="0.2">
      <c r="A352" s="1933"/>
      <c r="B352" s="1933"/>
      <c r="C352" s="1933"/>
      <c r="D352" s="1933"/>
      <c r="E352" s="1933"/>
      <c r="F352" s="1933"/>
      <c r="G352" s="1934"/>
      <c r="H352" s="1933"/>
      <c r="I352" s="1933"/>
      <c r="J352" s="1933"/>
      <c r="K352" s="1933"/>
      <c r="L352" s="1933"/>
      <c r="M352" s="1933"/>
      <c r="N352" s="1933"/>
      <c r="O352" s="1933"/>
      <c r="P352" s="1933"/>
      <c r="Q352" s="1933"/>
      <c r="R352" s="1933"/>
      <c r="S352" s="1933"/>
      <c r="T352" s="1933"/>
      <c r="U352" s="1933"/>
      <c r="V352" s="1933"/>
      <c r="W352" s="1933"/>
      <c r="X352" s="1933"/>
      <c r="Y352" s="1933"/>
      <c r="Z352" s="1933"/>
    </row>
    <row r="353" spans="1:26" ht="12" x14ac:dyDescent="0.2">
      <c r="A353" s="1933"/>
      <c r="B353" s="1933"/>
      <c r="C353" s="1933"/>
      <c r="D353" s="1933"/>
      <c r="E353" s="1933"/>
      <c r="F353" s="1933"/>
      <c r="G353" s="1934"/>
      <c r="H353" s="1933"/>
      <c r="I353" s="1933"/>
      <c r="J353" s="1933"/>
      <c r="K353" s="1933"/>
      <c r="L353" s="1933"/>
      <c r="M353" s="1933"/>
      <c r="N353" s="1933"/>
      <c r="O353" s="1933"/>
      <c r="P353" s="1933"/>
      <c r="Q353" s="1933"/>
      <c r="R353" s="1933"/>
      <c r="S353" s="1933"/>
      <c r="T353" s="1933"/>
      <c r="U353" s="1933"/>
      <c r="V353" s="1933"/>
      <c r="W353" s="1933"/>
      <c r="X353" s="1933"/>
      <c r="Y353" s="1933"/>
      <c r="Z353" s="1933"/>
    </row>
    <row r="354" spans="1:26" ht="12" x14ac:dyDescent="0.2">
      <c r="A354" s="1933"/>
      <c r="B354" s="1933"/>
      <c r="C354" s="1933"/>
      <c r="D354" s="1933"/>
      <c r="E354" s="1933"/>
      <c r="F354" s="1933"/>
      <c r="G354" s="1934"/>
      <c r="H354" s="1933"/>
      <c r="I354" s="1933"/>
      <c r="J354" s="1933"/>
      <c r="K354" s="1933"/>
      <c r="L354" s="1933"/>
      <c r="M354" s="1933"/>
      <c r="N354" s="1933"/>
      <c r="O354" s="1933"/>
      <c r="P354" s="1933"/>
      <c r="Q354" s="1933"/>
      <c r="R354" s="1933"/>
      <c r="S354" s="1933"/>
      <c r="T354" s="1933"/>
      <c r="U354" s="1933"/>
      <c r="V354" s="1933"/>
      <c r="W354" s="1933"/>
      <c r="X354" s="1933"/>
      <c r="Y354" s="1933"/>
      <c r="Z354" s="1933"/>
    </row>
    <row r="355" spans="1:26" ht="12" x14ac:dyDescent="0.2">
      <c r="A355" s="1933"/>
      <c r="B355" s="1933"/>
      <c r="C355" s="1933"/>
      <c r="D355" s="1933"/>
      <c r="E355" s="1933"/>
      <c r="F355" s="1933"/>
      <c r="G355" s="1934"/>
      <c r="H355" s="1933"/>
      <c r="I355" s="1933"/>
      <c r="J355" s="1933"/>
      <c r="K355" s="1933"/>
      <c r="L355" s="1933"/>
      <c r="M355" s="1933"/>
      <c r="N355" s="1933"/>
      <c r="O355" s="1933"/>
      <c r="P355" s="1933"/>
      <c r="Q355" s="1933"/>
      <c r="R355" s="1933"/>
      <c r="S355" s="1933"/>
      <c r="T355" s="1933"/>
      <c r="U355" s="1933"/>
      <c r="V355" s="1933"/>
      <c r="W355" s="1933"/>
      <c r="X355" s="1933"/>
      <c r="Y355" s="1933"/>
      <c r="Z355" s="1933"/>
    </row>
    <row r="356" spans="1:26" ht="12" x14ac:dyDescent="0.2">
      <c r="A356" s="1933"/>
      <c r="B356" s="1933"/>
      <c r="C356" s="1933"/>
      <c r="D356" s="1933"/>
      <c r="E356" s="1933"/>
      <c r="F356" s="1933"/>
      <c r="G356" s="1934"/>
      <c r="H356" s="1933"/>
      <c r="I356" s="1933"/>
      <c r="J356" s="1933"/>
      <c r="K356" s="1933"/>
      <c r="L356" s="1933"/>
      <c r="M356" s="1933"/>
      <c r="N356" s="1933"/>
      <c r="O356" s="1933"/>
      <c r="P356" s="1933"/>
      <c r="Q356" s="1933"/>
      <c r="R356" s="1933"/>
      <c r="S356" s="1933"/>
      <c r="T356" s="1933"/>
      <c r="U356" s="1933"/>
      <c r="V356" s="1933"/>
      <c r="W356" s="1933"/>
      <c r="X356" s="1933"/>
      <c r="Y356" s="1933"/>
      <c r="Z356" s="1933"/>
    </row>
    <row r="357" spans="1:26" ht="12" x14ac:dyDescent="0.2">
      <c r="A357" s="1933"/>
      <c r="B357" s="1933"/>
      <c r="C357" s="1933"/>
      <c r="D357" s="1933"/>
      <c r="E357" s="1933"/>
      <c r="F357" s="1933"/>
      <c r="G357" s="1934"/>
      <c r="H357" s="1933"/>
      <c r="I357" s="1933"/>
      <c r="J357" s="1933"/>
      <c r="K357" s="1933"/>
      <c r="L357" s="1933"/>
      <c r="M357" s="1933"/>
      <c r="N357" s="1933"/>
      <c r="O357" s="1933"/>
      <c r="P357" s="1933"/>
      <c r="Q357" s="1933"/>
      <c r="R357" s="1933"/>
      <c r="S357" s="1933"/>
      <c r="T357" s="1933"/>
      <c r="U357" s="1933"/>
      <c r="V357" s="1933"/>
      <c r="W357" s="1933"/>
      <c r="X357" s="1933"/>
      <c r="Y357" s="1933"/>
      <c r="Z357" s="1933"/>
    </row>
    <row r="358" spans="1:26" ht="12" x14ac:dyDescent="0.2">
      <c r="A358" s="1933"/>
      <c r="B358" s="1933"/>
      <c r="C358" s="1933"/>
      <c r="D358" s="1933"/>
      <c r="E358" s="1933"/>
      <c r="F358" s="1933"/>
      <c r="G358" s="1934"/>
      <c r="H358" s="1933"/>
      <c r="I358" s="1933"/>
      <c r="J358" s="1933"/>
      <c r="K358" s="1933"/>
      <c r="L358" s="1933"/>
      <c r="M358" s="1933"/>
      <c r="N358" s="1933"/>
      <c r="O358" s="1933"/>
      <c r="P358" s="1933"/>
      <c r="Q358" s="1933"/>
      <c r="R358" s="1933"/>
      <c r="S358" s="1933"/>
      <c r="T358" s="1933"/>
      <c r="U358" s="1933"/>
      <c r="V358" s="1933"/>
      <c r="W358" s="1933"/>
      <c r="X358" s="1933"/>
      <c r="Y358" s="1933"/>
      <c r="Z358" s="1933"/>
    </row>
    <row r="359" spans="1:26" ht="12" x14ac:dyDescent="0.2">
      <c r="A359" s="1933"/>
      <c r="B359" s="1933"/>
      <c r="C359" s="1933"/>
      <c r="D359" s="1933"/>
      <c r="E359" s="1933"/>
      <c r="F359" s="1933"/>
      <c r="G359" s="1934"/>
      <c r="H359" s="1933"/>
      <c r="I359" s="1933"/>
      <c r="J359" s="1933"/>
      <c r="K359" s="1933"/>
      <c r="L359" s="1933"/>
      <c r="M359" s="1933"/>
      <c r="N359" s="1933"/>
      <c r="O359" s="1933"/>
      <c r="P359" s="1933"/>
      <c r="Q359" s="1933"/>
      <c r="R359" s="1933"/>
      <c r="S359" s="1933"/>
      <c r="T359" s="1933"/>
      <c r="U359" s="1933"/>
      <c r="V359" s="1933"/>
      <c r="W359" s="1933"/>
      <c r="X359" s="1933"/>
      <c r="Y359" s="1933"/>
      <c r="Z359" s="1933"/>
    </row>
    <row r="360" spans="1:26" ht="12" x14ac:dyDescent="0.2">
      <c r="A360" s="1933"/>
      <c r="B360" s="1933"/>
      <c r="C360" s="1933"/>
      <c r="D360" s="1933"/>
      <c r="E360" s="1933"/>
      <c r="F360" s="1933"/>
      <c r="G360" s="1934"/>
      <c r="H360" s="1933"/>
      <c r="I360" s="1933"/>
      <c r="J360" s="1933"/>
      <c r="K360" s="1933"/>
      <c r="L360" s="1933"/>
      <c r="M360" s="1933"/>
      <c r="N360" s="1933"/>
      <c r="O360" s="1933"/>
      <c r="P360" s="1933"/>
      <c r="Q360" s="1933"/>
      <c r="R360" s="1933"/>
      <c r="S360" s="1933"/>
      <c r="T360" s="1933"/>
      <c r="U360" s="1933"/>
      <c r="V360" s="1933"/>
      <c r="W360" s="1933"/>
      <c r="X360" s="1933"/>
      <c r="Y360" s="1933"/>
      <c r="Z360" s="1933"/>
    </row>
    <row r="361" spans="1:26" ht="12" x14ac:dyDescent="0.2">
      <c r="A361" s="1933"/>
      <c r="B361" s="1933"/>
      <c r="C361" s="1933"/>
      <c r="D361" s="1933"/>
      <c r="E361" s="1933"/>
      <c r="F361" s="1933"/>
      <c r="G361" s="1934"/>
      <c r="H361" s="1933"/>
      <c r="I361" s="1933"/>
      <c r="J361" s="1933"/>
      <c r="K361" s="1933"/>
      <c r="L361" s="1933"/>
      <c r="M361" s="1933"/>
      <c r="N361" s="1933"/>
      <c r="O361" s="1933"/>
      <c r="P361" s="1933"/>
      <c r="Q361" s="1933"/>
      <c r="R361" s="1933"/>
      <c r="S361" s="1933"/>
      <c r="T361" s="1933"/>
      <c r="U361" s="1933"/>
      <c r="V361" s="1933"/>
      <c r="W361" s="1933"/>
      <c r="X361" s="1933"/>
      <c r="Y361" s="1933"/>
      <c r="Z361" s="1933"/>
    </row>
    <row r="362" spans="1:26" ht="12" x14ac:dyDescent="0.2">
      <c r="A362" s="1933"/>
      <c r="B362" s="1933"/>
      <c r="C362" s="1933"/>
      <c r="D362" s="1933"/>
      <c r="E362" s="1933"/>
      <c r="F362" s="1933"/>
      <c r="G362" s="1934"/>
      <c r="H362" s="1933"/>
      <c r="I362" s="1933"/>
      <c r="J362" s="1933"/>
      <c r="K362" s="1933"/>
      <c r="L362" s="1933"/>
      <c r="M362" s="1933"/>
      <c r="N362" s="1933"/>
      <c r="O362" s="1933"/>
      <c r="P362" s="1933"/>
      <c r="Q362" s="1933"/>
      <c r="R362" s="1933"/>
      <c r="S362" s="1933"/>
      <c r="T362" s="1933"/>
      <c r="U362" s="1933"/>
      <c r="V362" s="1933"/>
      <c r="W362" s="1933"/>
      <c r="X362" s="1933"/>
      <c r="Y362" s="1933"/>
      <c r="Z362" s="1933"/>
    </row>
    <row r="363" spans="1:26" ht="12" x14ac:dyDescent="0.2">
      <c r="A363" s="1933"/>
      <c r="B363" s="1933"/>
      <c r="C363" s="1933"/>
      <c r="D363" s="1933"/>
      <c r="E363" s="1933"/>
      <c r="F363" s="1933"/>
      <c r="G363" s="1934"/>
      <c r="H363" s="1933"/>
      <c r="I363" s="1933"/>
      <c r="J363" s="1933"/>
      <c r="K363" s="1933"/>
      <c r="L363" s="1933"/>
      <c r="M363" s="1933"/>
      <c r="N363" s="1933"/>
      <c r="O363" s="1933"/>
      <c r="P363" s="1933"/>
      <c r="Q363" s="1933"/>
      <c r="R363" s="1933"/>
      <c r="S363" s="1933"/>
      <c r="T363" s="1933"/>
      <c r="U363" s="1933"/>
      <c r="V363" s="1933"/>
      <c r="W363" s="1933"/>
      <c r="X363" s="1933"/>
      <c r="Y363" s="1933"/>
      <c r="Z363" s="1933"/>
    </row>
    <row r="364" spans="1:26" ht="12" x14ac:dyDescent="0.2">
      <c r="A364" s="1933"/>
      <c r="B364" s="1933"/>
      <c r="C364" s="1933"/>
      <c r="D364" s="1933"/>
      <c r="E364" s="1933"/>
      <c r="F364" s="1933"/>
      <c r="G364" s="1934"/>
      <c r="H364" s="1933"/>
      <c r="I364" s="1933"/>
      <c r="J364" s="1933"/>
      <c r="K364" s="1933"/>
      <c r="L364" s="1933"/>
      <c r="M364" s="1933"/>
      <c r="N364" s="1933"/>
      <c r="O364" s="1933"/>
      <c r="P364" s="1933"/>
      <c r="Q364" s="1933"/>
      <c r="R364" s="1933"/>
      <c r="S364" s="1933"/>
      <c r="T364" s="1933"/>
      <c r="U364" s="1933"/>
      <c r="V364" s="1933"/>
      <c r="W364" s="1933"/>
      <c r="X364" s="1933"/>
      <c r="Y364" s="1933"/>
      <c r="Z364" s="1933"/>
    </row>
    <row r="365" spans="1:26" ht="12" x14ac:dyDescent="0.2">
      <c r="A365" s="1933"/>
      <c r="B365" s="1933"/>
      <c r="C365" s="1933"/>
      <c r="D365" s="1933"/>
      <c r="E365" s="1933"/>
      <c r="F365" s="1933"/>
      <c r="G365" s="1934"/>
      <c r="H365" s="1933"/>
      <c r="I365" s="1933"/>
      <c r="J365" s="1933"/>
      <c r="K365" s="1933"/>
      <c r="L365" s="1933"/>
      <c r="M365" s="1933"/>
      <c r="N365" s="1933"/>
      <c r="O365" s="1933"/>
      <c r="P365" s="1933"/>
      <c r="Q365" s="1933"/>
      <c r="R365" s="1933"/>
      <c r="S365" s="1933"/>
      <c r="T365" s="1933"/>
      <c r="U365" s="1933"/>
      <c r="V365" s="1933"/>
      <c r="W365" s="1933"/>
      <c r="X365" s="1933"/>
      <c r="Y365" s="1933"/>
      <c r="Z365" s="1933"/>
    </row>
    <row r="366" spans="1:26" ht="12" x14ac:dyDescent="0.2">
      <c r="A366" s="1933"/>
      <c r="B366" s="1933"/>
      <c r="C366" s="1933"/>
      <c r="D366" s="1933"/>
      <c r="E366" s="1933"/>
      <c r="F366" s="1933"/>
      <c r="G366" s="1934"/>
      <c r="H366" s="1933"/>
      <c r="I366" s="1933"/>
      <c r="J366" s="1933"/>
      <c r="K366" s="1933"/>
      <c r="L366" s="1933"/>
      <c r="M366" s="1933"/>
      <c r="N366" s="1933"/>
      <c r="O366" s="1933"/>
      <c r="P366" s="1933"/>
      <c r="Q366" s="1933"/>
      <c r="R366" s="1933"/>
      <c r="S366" s="1933"/>
      <c r="T366" s="1933"/>
      <c r="U366" s="1933"/>
      <c r="V366" s="1933"/>
      <c r="W366" s="1933"/>
      <c r="X366" s="1933"/>
      <c r="Y366" s="1933"/>
      <c r="Z366" s="1933"/>
    </row>
    <row r="367" spans="1:26" ht="12" x14ac:dyDescent="0.2">
      <c r="A367" s="1933"/>
      <c r="B367" s="1933"/>
      <c r="C367" s="1933"/>
      <c r="D367" s="1933"/>
      <c r="E367" s="1933"/>
      <c r="F367" s="1933"/>
      <c r="G367" s="1934"/>
      <c r="H367" s="1933"/>
      <c r="I367" s="1933"/>
      <c r="J367" s="1933"/>
      <c r="K367" s="1933"/>
      <c r="L367" s="1933"/>
      <c r="M367" s="1933"/>
      <c r="N367" s="1933"/>
      <c r="O367" s="1933"/>
      <c r="P367" s="1933"/>
      <c r="Q367" s="1933"/>
      <c r="R367" s="1933"/>
      <c r="S367" s="1933"/>
      <c r="T367" s="1933"/>
      <c r="U367" s="1933"/>
      <c r="V367" s="1933"/>
      <c r="W367" s="1933"/>
      <c r="X367" s="1933"/>
      <c r="Y367" s="1933"/>
      <c r="Z367" s="1933"/>
    </row>
    <row r="368" spans="1:26" ht="12" x14ac:dyDescent="0.2">
      <c r="A368" s="1933"/>
      <c r="B368" s="1933"/>
      <c r="C368" s="1933"/>
      <c r="D368" s="1933"/>
      <c r="E368" s="1933"/>
      <c r="F368" s="1933"/>
      <c r="G368" s="1934"/>
      <c r="H368" s="1933"/>
      <c r="I368" s="1933"/>
      <c r="J368" s="1933"/>
      <c r="K368" s="1933"/>
      <c r="L368" s="1933"/>
      <c r="M368" s="1933"/>
      <c r="N368" s="1933"/>
      <c r="O368" s="1933"/>
      <c r="P368" s="1933"/>
      <c r="Q368" s="1933"/>
      <c r="R368" s="1933"/>
      <c r="S368" s="1933"/>
      <c r="T368" s="1933"/>
      <c r="U368" s="1933"/>
      <c r="V368" s="1933"/>
      <c r="W368" s="1933"/>
      <c r="X368" s="1933"/>
      <c r="Y368" s="1933"/>
      <c r="Z368" s="1933"/>
    </row>
    <row r="369" spans="1:26" ht="12" x14ac:dyDescent="0.2">
      <c r="A369" s="1933"/>
      <c r="B369" s="1933"/>
      <c r="C369" s="1933"/>
      <c r="D369" s="1933"/>
      <c r="E369" s="1933"/>
      <c r="F369" s="1933"/>
      <c r="G369" s="1934"/>
      <c r="H369" s="1933"/>
      <c r="I369" s="1933"/>
      <c r="J369" s="1933"/>
      <c r="K369" s="1933"/>
      <c r="L369" s="1933"/>
      <c r="M369" s="1933"/>
      <c r="N369" s="1933"/>
      <c r="O369" s="1933"/>
      <c r="P369" s="1933"/>
      <c r="Q369" s="1933"/>
      <c r="R369" s="1933"/>
      <c r="S369" s="1933"/>
      <c r="T369" s="1933"/>
      <c r="U369" s="1933"/>
      <c r="V369" s="1933"/>
      <c r="W369" s="1933"/>
      <c r="X369" s="1933"/>
      <c r="Y369" s="1933"/>
      <c r="Z369" s="1933"/>
    </row>
    <row r="370" spans="1:26" ht="12" x14ac:dyDescent="0.2">
      <c r="A370" s="1933"/>
      <c r="B370" s="1933"/>
      <c r="C370" s="1933"/>
      <c r="D370" s="1933"/>
      <c r="E370" s="1933"/>
      <c r="F370" s="1933"/>
      <c r="G370" s="1934"/>
      <c r="H370" s="1933"/>
      <c r="I370" s="1933"/>
      <c r="J370" s="1933"/>
      <c r="K370" s="1933"/>
      <c r="L370" s="1933"/>
      <c r="M370" s="1933"/>
      <c r="N370" s="1933"/>
      <c r="O370" s="1933"/>
      <c r="P370" s="1933"/>
      <c r="Q370" s="1933"/>
      <c r="R370" s="1933"/>
      <c r="S370" s="1933"/>
      <c r="T370" s="1933"/>
      <c r="U370" s="1933"/>
      <c r="V370" s="1933"/>
      <c r="W370" s="1933"/>
      <c r="X370" s="1933"/>
      <c r="Y370" s="1933"/>
      <c r="Z370" s="1933"/>
    </row>
    <row r="371" spans="1:26" ht="12" x14ac:dyDescent="0.2">
      <c r="A371" s="1933"/>
      <c r="B371" s="1933"/>
      <c r="C371" s="1933"/>
      <c r="D371" s="1933"/>
      <c r="E371" s="1933"/>
      <c r="F371" s="1933"/>
      <c r="G371" s="1934"/>
      <c r="H371" s="1933"/>
      <c r="I371" s="1933"/>
      <c r="J371" s="1933"/>
      <c r="K371" s="1933"/>
      <c r="L371" s="1933"/>
      <c r="M371" s="1933"/>
      <c r="N371" s="1933"/>
      <c r="O371" s="1933"/>
      <c r="P371" s="1933"/>
      <c r="Q371" s="1933"/>
      <c r="R371" s="1933"/>
      <c r="S371" s="1933"/>
      <c r="T371" s="1933"/>
      <c r="U371" s="1933"/>
      <c r="V371" s="1933"/>
      <c r="W371" s="1933"/>
      <c r="X371" s="1933"/>
      <c r="Y371" s="1933"/>
      <c r="Z371" s="1933"/>
    </row>
    <row r="372" spans="1:26" ht="12" x14ac:dyDescent="0.2">
      <c r="A372" s="1933"/>
      <c r="B372" s="1933"/>
      <c r="C372" s="1933"/>
      <c r="D372" s="1933"/>
      <c r="E372" s="1933"/>
      <c r="F372" s="1933"/>
      <c r="G372" s="1934"/>
      <c r="H372" s="1933"/>
      <c r="I372" s="1933"/>
      <c r="J372" s="1933"/>
      <c r="K372" s="1933"/>
      <c r="L372" s="1933"/>
      <c r="M372" s="1933"/>
      <c r="N372" s="1933"/>
      <c r="O372" s="1933"/>
      <c r="P372" s="1933"/>
      <c r="Q372" s="1933"/>
      <c r="R372" s="1933"/>
      <c r="S372" s="1933"/>
      <c r="T372" s="1933"/>
      <c r="U372" s="1933"/>
      <c r="V372" s="1933"/>
      <c r="W372" s="1933"/>
      <c r="X372" s="1933"/>
      <c r="Y372" s="1933"/>
      <c r="Z372" s="1933"/>
    </row>
    <row r="373" spans="1:26" ht="12" x14ac:dyDescent="0.2">
      <c r="A373" s="1933"/>
      <c r="B373" s="1933"/>
      <c r="C373" s="1933"/>
      <c r="D373" s="1933"/>
      <c r="E373" s="1933"/>
      <c r="F373" s="1933"/>
      <c r="G373" s="1934"/>
      <c r="H373" s="1933"/>
      <c r="I373" s="1933"/>
      <c r="J373" s="1933"/>
      <c r="K373" s="1933"/>
      <c r="L373" s="1933"/>
      <c r="M373" s="1933"/>
      <c r="N373" s="1933"/>
      <c r="O373" s="1933"/>
      <c r="P373" s="1933"/>
      <c r="Q373" s="1933"/>
      <c r="R373" s="1933"/>
      <c r="S373" s="1933"/>
      <c r="T373" s="1933"/>
      <c r="U373" s="1933"/>
      <c r="V373" s="1933"/>
      <c r="W373" s="1933"/>
      <c r="X373" s="1933"/>
      <c r="Y373" s="1933"/>
      <c r="Z373" s="1933"/>
    </row>
    <row r="374" spans="1:26" ht="12" x14ac:dyDescent="0.2">
      <c r="A374" s="1933"/>
      <c r="B374" s="1933"/>
      <c r="C374" s="1933"/>
      <c r="D374" s="1933"/>
      <c r="E374" s="1933"/>
      <c r="F374" s="1933"/>
      <c r="G374" s="1934"/>
      <c r="H374" s="1933"/>
      <c r="I374" s="1933"/>
      <c r="J374" s="1933"/>
      <c r="K374" s="1933"/>
      <c r="L374" s="1933"/>
      <c r="M374" s="1933"/>
      <c r="N374" s="1933"/>
      <c r="O374" s="1933"/>
      <c r="P374" s="1933"/>
      <c r="Q374" s="1933"/>
      <c r="R374" s="1933"/>
      <c r="S374" s="1933"/>
      <c r="T374" s="1933"/>
      <c r="U374" s="1933"/>
      <c r="V374" s="1933"/>
      <c r="W374" s="1933"/>
      <c r="X374" s="1933"/>
      <c r="Y374" s="1933"/>
      <c r="Z374" s="1933"/>
    </row>
    <row r="375" spans="1:26" ht="12" x14ac:dyDescent="0.2">
      <c r="A375" s="1933"/>
      <c r="B375" s="1933"/>
      <c r="C375" s="1933"/>
      <c r="D375" s="1933"/>
      <c r="E375" s="1933"/>
      <c r="F375" s="1933"/>
      <c r="G375" s="1934"/>
      <c r="H375" s="1933"/>
      <c r="I375" s="1933"/>
      <c r="J375" s="1933"/>
      <c r="K375" s="1933"/>
      <c r="L375" s="1933"/>
      <c r="M375" s="1933"/>
      <c r="N375" s="1933"/>
      <c r="O375" s="1933"/>
      <c r="P375" s="1933"/>
      <c r="Q375" s="1933"/>
      <c r="R375" s="1933"/>
      <c r="S375" s="1933"/>
      <c r="T375" s="1933"/>
      <c r="U375" s="1933"/>
      <c r="V375" s="1933"/>
      <c r="W375" s="1933"/>
      <c r="X375" s="1933"/>
      <c r="Y375" s="1933"/>
      <c r="Z375" s="1933"/>
    </row>
    <row r="376" spans="1:26" ht="12" x14ac:dyDescent="0.2">
      <c r="A376" s="1933"/>
      <c r="B376" s="1933"/>
      <c r="C376" s="1933"/>
      <c r="D376" s="1933"/>
      <c r="E376" s="1933"/>
      <c r="F376" s="1933"/>
      <c r="G376" s="1934"/>
      <c r="H376" s="1933"/>
      <c r="I376" s="1933"/>
      <c r="J376" s="1933"/>
      <c r="K376" s="1933"/>
      <c r="L376" s="1933"/>
      <c r="M376" s="1933"/>
      <c r="N376" s="1933"/>
      <c r="O376" s="1933"/>
      <c r="P376" s="1933"/>
      <c r="Q376" s="1933"/>
      <c r="R376" s="1933"/>
      <c r="S376" s="1933"/>
      <c r="T376" s="1933"/>
      <c r="U376" s="1933"/>
      <c r="V376" s="1933"/>
      <c r="W376" s="1933"/>
      <c r="X376" s="1933"/>
      <c r="Y376" s="1933"/>
      <c r="Z376" s="1933"/>
    </row>
    <row r="377" spans="1:26" ht="12" x14ac:dyDescent="0.2">
      <c r="A377" s="1933"/>
      <c r="B377" s="1933"/>
      <c r="C377" s="1933"/>
      <c r="D377" s="1933"/>
      <c r="E377" s="1933"/>
      <c r="F377" s="1933"/>
      <c r="G377" s="1934"/>
      <c r="H377" s="1933"/>
      <c r="I377" s="1933"/>
      <c r="J377" s="1933"/>
      <c r="K377" s="1933"/>
      <c r="L377" s="1933"/>
      <c r="M377" s="1933"/>
      <c r="N377" s="1933"/>
      <c r="O377" s="1933"/>
      <c r="P377" s="1933"/>
      <c r="Q377" s="1933"/>
      <c r="R377" s="1933"/>
      <c r="S377" s="1933"/>
      <c r="T377" s="1933"/>
      <c r="U377" s="1933"/>
      <c r="V377" s="1933"/>
      <c r="W377" s="1933"/>
      <c r="X377" s="1933"/>
      <c r="Y377" s="1933"/>
      <c r="Z377" s="1933"/>
    </row>
    <row r="378" spans="1:26" ht="12" x14ac:dyDescent="0.2">
      <c r="A378" s="1933"/>
      <c r="B378" s="1933"/>
      <c r="C378" s="1933"/>
      <c r="D378" s="1933"/>
      <c r="E378" s="1933"/>
      <c r="F378" s="1933"/>
      <c r="G378" s="1934"/>
      <c r="H378" s="1933"/>
      <c r="I378" s="1933"/>
      <c r="J378" s="1933"/>
      <c r="K378" s="1933"/>
      <c r="L378" s="1933"/>
      <c r="M378" s="1933"/>
      <c r="N378" s="1933"/>
      <c r="O378" s="1933"/>
      <c r="P378" s="1933"/>
      <c r="Q378" s="1933"/>
      <c r="R378" s="1933"/>
      <c r="S378" s="1933"/>
      <c r="T378" s="1933"/>
      <c r="U378" s="1933"/>
      <c r="V378" s="1933"/>
      <c r="W378" s="1933"/>
      <c r="X378" s="1933"/>
      <c r="Y378" s="1933"/>
      <c r="Z378" s="1933"/>
    </row>
    <row r="379" spans="1:26" ht="12" x14ac:dyDescent="0.2">
      <c r="A379" s="1933"/>
      <c r="B379" s="1933"/>
      <c r="C379" s="1933"/>
      <c r="D379" s="1933"/>
      <c r="E379" s="1933"/>
      <c r="F379" s="1933"/>
      <c r="G379" s="1934"/>
      <c r="H379" s="1933"/>
      <c r="I379" s="1933"/>
      <c r="J379" s="1933"/>
      <c r="K379" s="1933"/>
      <c r="L379" s="1933"/>
      <c r="M379" s="1933"/>
      <c r="N379" s="1933"/>
      <c r="O379" s="1933"/>
      <c r="P379" s="1933"/>
      <c r="Q379" s="1933"/>
      <c r="R379" s="1933"/>
      <c r="S379" s="1933"/>
      <c r="T379" s="1933"/>
      <c r="U379" s="1933"/>
      <c r="V379" s="1933"/>
      <c r="W379" s="1933"/>
      <c r="X379" s="1933"/>
      <c r="Y379" s="1933"/>
      <c r="Z379" s="1933"/>
    </row>
    <row r="380" spans="1:26" ht="12" x14ac:dyDescent="0.2">
      <c r="A380" s="1933"/>
      <c r="B380" s="1933"/>
      <c r="C380" s="1933"/>
      <c r="D380" s="1933"/>
      <c r="E380" s="1933"/>
      <c r="F380" s="1933"/>
      <c r="G380" s="1934"/>
      <c r="H380" s="1933"/>
      <c r="I380" s="1933"/>
      <c r="J380" s="1933"/>
      <c r="K380" s="1933"/>
      <c r="L380" s="1933"/>
      <c r="M380" s="1933"/>
      <c r="N380" s="1933"/>
      <c r="O380" s="1933"/>
      <c r="P380" s="1933"/>
      <c r="Q380" s="1933"/>
      <c r="R380" s="1933"/>
      <c r="S380" s="1933"/>
      <c r="T380" s="1933"/>
      <c r="U380" s="1933"/>
      <c r="V380" s="1933"/>
      <c r="W380" s="1933"/>
      <c r="X380" s="1933"/>
      <c r="Y380" s="1933"/>
      <c r="Z380" s="1933"/>
    </row>
    <row r="381" spans="1:26" ht="12" x14ac:dyDescent="0.2">
      <c r="A381" s="1933"/>
      <c r="B381" s="1933"/>
      <c r="C381" s="1933"/>
      <c r="D381" s="1933"/>
      <c r="E381" s="1933"/>
      <c r="F381" s="1933"/>
      <c r="G381" s="1934"/>
      <c r="H381" s="1933"/>
      <c r="I381" s="1933"/>
      <c r="J381" s="1933"/>
      <c r="K381" s="1933"/>
      <c r="L381" s="1933"/>
      <c r="M381" s="1933"/>
      <c r="N381" s="1933"/>
      <c r="O381" s="1933"/>
      <c r="P381" s="1933"/>
      <c r="Q381" s="1933"/>
      <c r="R381" s="1933"/>
      <c r="S381" s="1933"/>
      <c r="T381" s="1933"/>
      <c r="U381" s="1933"/>
      <c r="V381" s="1933"/>
      <c r="W381" s="1933"/>
      <c r="X381" s="1933"/>
      <c r="Y381" s="1933"/>
      <c r="Z381" s="1933"/>
    </row>
    <row r="382" spans="1:26" ht="12" x14ac:dyDescent="0.2">
      <c r="A382" s="1933"/>
      <c r="B382" s="1933"/>
      <c r="C382" s="1933"/>
      <c r="D382" s="1933"/>
      <c r="E382" s="1933"/>
      <c r="F382" s="1933"/>
      <c r="G382" s="1934"/>
      <c r="H382" s="1933"/>
      <c r="I382" s="1933"/>
      <c r="J382" s="1933"/>
      <c r="K382" s="1933"/>
      <c r="L382" s="1933"/>
      <c r="M382" s="1933"/>
      <c r="N382" s="1933"/>
      <c r="O382" s="1933"/>
      <c r="P382" s="1933"/>
      <c r="Q382" s="1933"/>
      <c r="R382" s="1933"/>
      <c r="S382" s="1933"/>
      <c r="T382" s="1933"/>
      <c r="U382" s="1933"/>
      <c r="V382" s="1933"/>
      <c r="W382" s="1933"/>
      <c r="X382" s="1933"/>
      <c r="Y382" s="1933"/>
      <c r="Z382" s="1933"/>
    </row>
    <row r="383" spans="1:26" ht="12" x14ac:dyDescent="0.2">
      <c r="A383" s="1933"/>
      <c r="B383" s="1933"/>
      <c r="C383" s="1933"/>
      <c r="D383" s="1933"/>
      <c r="E383" s="1933"/>
      <c r="F383" s="1933"/>
      <c r="G383" s="1934"/>
      <c r="H383" s="1933"/>
      <c r="I383" s="1933"/>
      <c r="J383" s="1933"/>
      <c r="K383" s="1933"/>
      <c r="L383" s="1933"/>
      <c r="M383" s="1933"/>
      <c r="N383" s="1933"/>
      <c r="O383" s="1933"/>
      <c r="P383" s="1933"/>
      <c r="Q383" s="1933"/>
      <c r="R383" s="1933"/>
      <c r="S383" s="1933"/>
      <c r="T383" s="1933"/>
      <c r="U383" s="1933"/>
      <c r="V383" s="1933"/>
      <c r="W383" s="1933"/>
      <c r="X383" s="1933"/>
      <c r="Y383" s="1933"/>
      <c r="Z383" s="1933"/>
    </row>
    <row r="384" spans="1:26" ht="12" x14ac:dyDescent="0.2">
      <c r="A384" s="1933"/>
      <c r="B384" s="1933"/>
      <c r="C384" s="1933"/>
      <c r="D384" s="1933"/>
      <c r="E384" s="1933"/>
      <c r="F384" s="1933"/>
      <c r="G384" s="1934"/>
      <c r="H384" s="1933"/>
      <c r="I384" s="1933"/>
      <c r="J384" s="1933"/>
      <c r="K384" s="1933"/>
      <c r="L384" s="1933"/>
      <c r="M384" s="1933"/>
      <c r="N384" s="1933"/>
      <c r="O384" s="1933"/>
      <c r="P384" s="1933"/>
      <c r="Q384" s="1933"/>
      <c r="R384" s="1933"/>
      <c r="S384" s="1933"/>
      <c r="T384" s="1933"/>
      <c r="U384" s="1933"/>
      <c r="V384" s="1933"/>
      <c r="W384" s="1933"/>
      <c r="X384" s="1933"/>
      <c r="Y384" s="1933"/>
      <c r="Z384" s="1933"/>
    </row>
    <row r="385" spans="1:26" ht="12" x14ac:dyDescent="0.2">
      <c r="A385" s="1933"/>
      <c r="B385" s="1933"/>
      <c r="C385" s="1933"/>
      <c r="D385" s="1933"/>
      <c r="E385" s="1933"/>
      <c r="F385" s="1933"/>
      <c r="G385" s="1934"/>
      <c r="H385" s="1933"/>
      <c r="I385" s="1933"/>
      <c r="J385" s="1933"/>
      <c r="K385" s="1933"/>
      <c r="L385" s="1933"/>
      <c r="M385" s="1933"/>
      <c r="N385" s="1933"/>
      <c r="O385" s="1933"/>
      <c r="P385" s="1933"/>
      <c r="Q385" s="1933"/>
      <c r="R385" s="1933"/>
      <c r="S385" s="1933"/>
      <c r="T385" s="1933"/>
      <c r="U385" s="1933"/>
      <c r="V385" s="1933"/>
      <c r="W385" s="1933"/>
      <c r="X385" s="1933"/>
      <c r="Y385" s="1933"/>
      <c r="Z385" s="1933"/>
    </row>
    <row r="386" spans="1:26" ht="12" x14ac:dyDescent="0.2">
      <c r="A386" s="1933"/>
      <c r="B386" s="1933"/>
      <c r="C386" s="1933"/>
      <c r="D386" s="1933"/>
      <c r="E386" s="1933"/>
      <c r="F386" s="1933"/>
      <c r="G386" s="1934"/>
      <c r="H386" s="1933"/>
      <c r="I386" s="1933"/>
      <c r="J386" s="1933"/>
      <c r="K386" s="1933"/>
      <c r="L386" s="1933"/>
      <c r="M386" s="1933"/>
      <c r="N386" s="1933"/>
      <c r="O386" s="1933"/>
      <c r="P386" s="1933"/>
      <c r="Q386" s="1933"/>
      <c r="R386" s="1933"/>
      <c r="S386" s="1933"/>
      <c r="T386" s="1933"/>
      <c r="U386" s="1933"/>
      <c r="V386" s="1933"/>
      <c r="W386" s="1933"/>
      <c r="X386" s="1933"/>
      <c r="Y386" s="1933"/>
      <c r="Z386" s="1933"/>
    </row>
    <row r="387" spans="1:26" ht="12" x14ac:dyDescent="0.2">
      <c r="A387" s="1933"/>
      <c r="B387" s="1933"/>
      <c r="C387" s="1933"/>
      <c r="D387" s="1933"/>
      <c r="E387" s="1933"/>
      <c r="F387" s="1933"/>
      <c r="G387" s="1934"/>
      <c r="H387" s="1933"/>
      <c r="I387" s="1933"/>
      <c r="J387" s="1933"/>
      <c r="K387" s="1933"/>
      <c r="L387" s="1933"/>
      <c r="M387" s="1933"/>
      <c r="N387" s="1933"/>
      <c r="O387" s="1933"/>
      <c r="P387" s="1933"/>
      <c r="Q387" s="1933"/>
      <c r="R387" s="1933"/>
      <c r="S387" s="1933"/>
      <c r="T387" s="1933"/>
      <c r="U387" s="1933"/>
      <c r="V387" s="1933"/>
      <c r="W387" s="1933"/>
      <c r="X387" s="1933"/>
      <c r="Y387" s="1933"/>
      <c r="Z387" s="1933"/>
    </row>
    <row r="388" spans="1:26" ht="12" x14ac:dyDescent="0.2">
      <c r="A388" s="1933"/>
      <c r="B388" s="1933"/>
      <c r="C388" s="1933"/>
      <c r="D388" s="1933"/>
      <c r="E388" s="1933"/>
      <c r="F388" s="1933"/>
      <c r="G388" s="1934"/>
      <c r="H388" s="1933"/>
      <c r="I388" s="1933"/>
      <c r="J388" s="1933"/>
      <c r="K388" s="1933"/>
      <c r="L388" s="1933"/>
      <c r="M388" s="1933"/>
      <c r="N388" s="1933"/>
      <c r="O388" s="1933"/>
      <c r="P388" s="1933"/>
      <c r="Q388" s="1933"/>
      <c r="R388" s="1933"/>
      <c r="S388" s="1933"/>
      <c r="T388" s="1933"/>
      <c r="U388" s="1933"/>
      <c r="V388" s="1933"/>
      <c r="W388" s="1933"/>
      <c r="X388" s="1933"/>
      <c r="Y388" s="1933"/>
      <c r="Z388" s="1933"/>
    </row>
    <row r="389" spans="1:26" ht="12" x14ac:dyDescent="0.2">
      <c r="A389" s="1933"/>
      <c r="B389" s="1933"/>
      <c r="C389" s="1933"/>
      <c r="D389" s="1933"/>
      <c r="E389" s="1933"/>
      <c r="F389" s="1933"/>
      <c r="G389" s="1934"/>
      <c r="H389" s="1933"/>
      <c r="I389" s="1933"/>
      <c r="J389" s="1933"/>
      <c r="K389" s="1933"/>
      <c r="L389" s="1933"/>
      <c r="M389" s="1933"/>
      <c r="N389" s="1933"/>
      <c r="O389" s="1933"/>
      <c r="P389" s="1933"/>
      <c r="Q389" s="1933"/>
      <c r="R389" s="1933"/>
      <c r="S389" s="1933"/>
      <c r="T389" s="1933"/>
      <c r="U389" s="1933"/>
      <c r="V389" s="1933"/>
      <c r="W389" s="1933"/>
      <c r="X389" s="1933"/>
      <c r="Y389" s="1933"/>
      <c r="Z389" s="1933"/>
    </row>
    <row r="390" spans="1:26" ht="12" x14ac:dyDescent="0.2">
      <c r="A390" s="1933"/>
      <c r="B390" s="1933"/>
      <c r="C390" s="1933"/>
      <c r="D390" s="1933"/>
      <c r="E390" s="1933"/>
      <c r="F390" s="1933"/>
      <c r="G390" s="1934"/>
      <c r="H390" s="1933"/>
      <c r="I390" s="1933"/>
      <c r="J390" s="1933"/>
      <c r="K390" s="1933"/>
      <c r="L390" s="1933"/>
      <c r="M390" s="1933"/>
      <c r="N390" s="1933"/>
      <c r="O390" s="1933"/>
      <c r="P390" s="1933"/>
      <c r="Q390" s="1933"/>
      <c r="R390" s="1933"/>
      <c r="S390" s="1933"/>
      <c r="T390" s="1933"/>
      <c r="U390" s="1933"/>
      <c r="V390" s="1933"/>
      <c r="W390" s="1933"/>
      <c r="X390" s="1933"/>
      <c r="Y390" s="1933"/>
      <c r="Z390" s="1933"/>
    </row>
    <row r="391" spans="1:26" ht="12" x14ac:dyDescent="0.2">
      <c r="A391" s="1933"/>
      <c r="B391" s="1933"/>
      <c r="C391" s="1933"/>
      <c r="D391" s="1933"/>
      <c r="E391" s="1933"/>
      <c r="F391" s="1933"/>
      <c r="G391" s="1934"/>
      <c r="H391" s="1933"/>
      <c r="I391" s="1933"/>
      <c r="J391" s="1933"/>
      <c r="K391" s="1933"/>
      <c r="L391" s="1933"/>
      <c r="M391" s="1933"/>
      <c r="N391" s="1933"/>
      <c r="O391" s="1933"/>
      <c r="P391" s="1933"/>
      <c r="Q391" s="1933"/>
      <c r="R391" s="1933"/>
      <c r="S391" s="1933"/>
      <c r="T391" s="1933"/>
      <c r="U391" s="1933"/>
      <c r="V391" s="1933"/>
      <c r="W391" s="1933"/>
      <c r="X391" s="1933"/>
      <c r="Y391" s="1933"/>
      <c r="Z391" s="1933"/>
    </row>
    <row r="392" spans="1:26" ht="12" x14ac:dyDescent="0.2">
      <c r="A392" s="1933"/>
      <c r="B392" s="1933"/>
      <c r="C392" s="1933"/>
      <c r="D392" s="1933"/>
      <c r="E392" s="1933"/>
      <c r="F392" s="1933"/>
      <c r="G392" s="1934"/>
      <c r="H392" s="1933"/>
      <c r="I392" s="1933"/>
      <c r="J392" s="1933"/>
      <c r="K392" s="1933"/>
      <c r="L392" s="1933"/>
      <c r="M392" s="1933"/>
      <c r="N392" s="1933"/>
      <c r="O392" s="1933"/>
      <c r="P392" s="1933"/>
      <c r="Q392" s="1933"/>
      <c r="R392" s="1933"/>
      <c r="S392" s="1933"/>
      <c r="T392" s="1933"/>
      <c r="U392" s="1933"/>
      <c r="V392" s="1933"/>
      <c r="W392" s="1933"/>
      <c r="X392" s="1933"/>
      <c r="Y392" s="1933"/>
      <c r="Z392" s="1933"/>
    </row>
    <row r="393" spans="1:26" ht="12" x14ac:dyDescent="0.2">
      <c r="A393" s="1933"/>
      <c r="B393" s="1933"/>
      <c r="C393" s="1933"/>
      <c r="D393" s="1933"/>
      <c r="E393" s="1933"/>
      <c r="F393" s="1933"/>
      <c r="G393" s="1934"/>
      <c r="H393" s="1933"/>
      <c r="I393" s="1933"/>
      <c r="J393" s="1933"/>
      <c r="K393" s="1933"/>
      <c r="L393" s="1933"/>
      <c r="M393" s="1933"/>
      <c r="N393" s="1933"/>
      <c r="O393" s="1933"/>
      <c r="P393" s="1933"/>
      <c r="Q393" s="1933"/>
      <c r="R393" s="1933"/>
      <c r="S393" s="1933"/>
      <c r="T393" s="1933"/>
      <c r="U393" s="1933"/>
      <c r="V393" s="1933"/>
      <c r="W393" s="1933"/>
      <c r="X393" s="1933"/>
      <c r="Y393" s="1933"/>
      <c r="Z393" s="1933"/>
    </row>
    <row r="394" spans="1:26" ht="12" x14ac:dyDescent="0.2">
      <c r="A394" s="1933"/>
      <c r="B394" s="1933"/>
      <c r="C394" s="1933"/>
      <c r="D394" s="1933"/>
      <c r="E394" s="1933"/>
      <c r="F394" s="1933"/>
      <c r="G394" s="1934"/>
      <c r="H394" s="1933"/>
      <c r="I394" s="1933"/>
      <c r="J394" s="1933"/>
      <c r="K394" s="1933"/>
      <c r="L394" s="1933"/>
      <c r="M394" s="1933"/>
      <c r="N394" s="1933"/>
      <c r="O394" s="1933"/>
      <c r="P394" s="1933"/>
      <c r="Q394" s="1933"/>
      <c r="R394" s="1933"/>
      <c r="S394" s="1933"/>
      <c r="T394" s="1933"/>
      <c r="U394" s="1933"/>
      <c r="V394" s="1933"/>
      <c r="W394" s="1933"/>
      <c r="X394" s="1933"/>
      <c r="Y394" s="1933"/>
      <c r="Z394" s="1933"/>
    </row>
    <row r="395" spans="1:26" ht="12" x14ac:dyDescent="0.2">
      <c r="A395" s="1933"/>
      <c r="B395" s="1933"/>
      <c r="C395" s="1933"/>
      <c r="D395" s="1933"/>
      <c r="E395" s="1933"/>
      <c r="F395" s="1933"/>
      <c r="G395" s="1934"/>
      <c r="H395" s="1933"/>
      <c r="I395" s="1933"/>
      <c r="J395" s="1933"/>
      <c r="K395" s="1933"/>
      <c r="L395" s="1933"/>
      <c r="M395" s="1933"/>
      <c r="N395" s="1933"/>
      <c r="O395" s="1933"/>
      <c r="P395" s="1933"/>
      <c r="Q395" s="1933"/>
      <c r="R395" s="1933"/>
      <c r="S395" s="1933"/>
      <c r="T395" s="1933"/>
      <c r="U395" s="1933"/>
      <c r="V395" s="1933"/>
      <c r="W395" s="1933"/>
      <c r="X395" s="1933"/>
      <c r="Y395" s="1933"/>
      <c r="Z395" s="1933"/>
    </row>
    <row r="396" spans="1:26" ht="12" x14ac:dyDescent="0.2">
      <c r="A396" s="1933"/>
      <c r="B396" s="1933"/>
      <c r="C396" s="1933"/>
      <c r="D396" s="1933"/>
      <c r="E396" s="1933"/>
      <c r="F396" s="1933"/>
      <c r="G396" s="1934"/>
      <c r="H396" s="1933"/>
      <c r="I396" s="1933"/>
      <c r="J396" s="1933"/>
      <c r="K396" s="1933"/>
      <c r="L396" s="1933"/>
      <c r="M396" s="1933"/>
      <c r="N396" s="1933"/>
      <c r="O396" s="1933"/>
      <c r="P396" s="1933"/>
      <c r="Q396" s="1933"/>
      <c r="R396" s="1933"/>
      <c r="S396" s="1933"/>
      <c r="T396" s="1933"/>
      <c r="U396" s="1933"/>
      <c r="V396" s="1933"/>
      <c r="W396" s="1933"/>
      <c r="X396" s="1933"/>
      <c r="Y396" s="1933"/>
      <c r="Z396" s="1933"/>
    </row>
    <row r="397" spans="1:26" ht="12" x14ac:dyDescent="0.2">
      <c r="A397" s="1933"/>
      <c r="B397" s="1933"/>
      <c r="C397" s="1933"/>
      <c r="D397" s="1933"/>
      <c r="E397" s="1933"/>
      <c r="F397" s="1933"/>
      <c r="G397" s="1934"/>
      <c r="H397" s="1933"/>
      <c r="I397" s="1933"/>
      <c r="J397" s="1933"/>
      <c r="K397" s="1933"/>
      <c r="L397" s="1933"/>
      <c r="M397" s="1933"/>
      <c r="N397" s="1933"/>
      <c r="O397" s="1933"/>
      <c r="P397" s="1933"/>
      <c r="Q397" s="1933"/>
      <c r="R397" s="1933"/>
      <c r="S397" s="1933"/>
      <c r="T397" s="1933"/>
      <c r="U397" s="1933"/>
      <c r="V397" s="1933"/>
      <c r="W397" s="1933"/>
      <c r="X397" s="1933"/>
      <c r="Y397" s="1933"/>
      <c r="Z397" s="1933"/>
    </row>
    <row r="398" spans="1:26" ht="12" x14ac:dyDescent="0.2">
      <c r="A398" s="1933"/>
      <c r="B398" s="1933"/>
      <c r="C398" s="1933"/>
      <c r="D398" s="1933"/>
      <c r="E398" s="1933"/>
      <c r="F398" s="1933"/>
      <c r="G398" s="1934"/>
      <c r="H398" s="1933"/>
      <c r="I398" s="1933"/>
      <c r="J398" s="1933"/>
      <c r="K398" s="1933"/>
      <c r="L398" s="1933"/>
      <c r="M398" s="1933"/>
      <c r="N398" s="1933"/>
      <c r="O398" s="1933"/>
      <c r="P398" s="1933"/>
      <c r="Q398" s="1933"/>
      <c r="R398" s="1933"/>
      <c r="S398" s="1933"/>
      <c r="T398" s="1933"/>
      <c r="U398" s="1933"/>
      <c r="V398" s="1933"/>
      <c r="W398" s="1933"/>
      <c r="X398" s="1933"/>
      <c r="Y398" s="1933"/>
      <c r="Z398" s="1933"/>
    </row>
    <row r="399" spans="1:26" ht="12" x14ac:dyDescent="0.2">
      <c r="A399" s="1933"/>
      <c r="B399" s="1933"/>
      <c r="C399" s="1933"/>
      <c r="D399" s="1933"/>
      <c r="E399" s="1933"/>
      <c r="F399" s="1933"/>
      <c r="G399" s="1934"/>
      <c r="H399" s="1933"/>
      <c r="I399" s="1933"/>
      <c r="J399" s="1933"/>
      <c r="K399" s="1933"/>
      <c r="L399" s="1933"/>
      <c r="M399" s="1933"/>
      <c r="N399" s="1933"/>
      <c r="O399" s="1933"/>
      <c r="P399" s="1933"/>
      <c r="Q399" s="1933"/>
      <c r="R399" s="1933"/>
      <c r="S399" s="1933"/>
      <c r="T399" s="1933"/>
      <c r="U399" s="1933"/>
      <c r="V399" s="1933"/>
      <c r="W399" s="1933"/>
      <c r="X399" s="1933"/>
      <c r="Y399" s="1933"/>
      <c r="Z399" s="1933"/>
    </row>
    <row r="400" spans="1:26" ht="12" x14ac:dyDescent="0.2">
      <c r="A400" s="1933"/>
      <c r="B400" s="1933"/>
      <c r="C400" s="1933"/>
      <c r="D400" s="1933"/>
      <c r="E400" s="1933"/>
      <c r="F400" s="1933"/>
      <c r="G400" s="1934"/>
      <c r="H400" s="1933"/>
      <c r="I400" s="1933"/>
      <c r="J400" s="1933"/>
      <c r="K400" s="1933"/>
      <c r="L400" s="1933"/>
      <c r="M400" s="1933"/>
      <c r="N400" s="1933"/>
      <c r="O400" s="1933"/>
      <c r="P400" s="1933"/>
      <c r="Q400" s="1933"/>
      <c r="R400" s="1933"/>
      <c r="S400" s="1933"/>
      <c r="T400" s="1933"/>
      <c r="U400" s="1933"/>
      <c r="V400" s="1933"/>
      <c r="W400" s="1933"/>
      <c r="X400" s="1933"/>
      <c r="Y400" s="1933"/>
      <c r="Z400" s="1933"/>
    </row>
    <row r="401" spans="1:26" ht="12" x14ac:dyDescent="0.2">
      <c r="A401" s="1933"/>
      <c r="B401" s="1933"/>
      <c r="C401" s="1933"/>
      <c r="D401" s="1933"/>
      <c r="E401" s="1933"/>
      <c r="F401" s="1933"/>
      <c r="G401" s="1934"/>
      <c r="H401" s="1933"/>
      <c r="I401" s="1933"/>
      <c r="J401" s="1933"/>
      <c r="K401" s="1933"/>
      <c r="L401" s="1933"/>
      <c r="M401" s="1933"/>
      <c r="N401" s="1933"/>
      <c r="O401" s="1933"/>
      <c r="P401" s="1933"/>
      <c r="Q401" s="1933"/>
      <c r="R401" s="1933"/>
      <c r="S401" s="1933"/>
      <c r="T401" s="1933"/>
      <c r="U401" s="1933"/>
      <c r="V401" s="1933"/>
      <c r="W401" s="1933"/>
      <c r="X401" s="1933"/>
      <c r="Y401" s="1933"/>
      <c r="Z401" s="1933"/>
    </row>
    <row r="402" spans="1:26" ht="12" x14ac:dyDescent="0.2">
      <c r="A402" s="1933"/>
      <c r="B402" s="1933"/>
      <c r="C402" s="1933"/>
      <c r="D402" s="1933"/>
      <c r="E402" s="1933"/>
      <c r="F402" s="1933"/>
      <c r="G402" s="1934"/>
      <c r="H402" s="1933"/>
      <c r="I402" s="1933"/>
      <c r="J402" s="1933"/>
      <c r="K402" s="1933"/>
      <c r="L402" s="1933"/>
      <c r="M402" s="1933"/>
      <c r="N402" s="1933"/>
      <c r="O402" s="1933"/>
      <c r="P402" s="1933"/>
      <c r="Q402" s="1933"/>
      <c r="R402" s="1933"/>
      <c r="S402" s="1933"/>
      <c r="T402" s="1933"/>
      <c r="U402" s="1933"/>
      <c r="V402" s="1933"/>
      <c r="W402" s="1933"/>
      <c r="X402" s="1933"/>
      <c r="Y402" s="1933"/>
      <c r="Z402" s="1933"/>
    </row>
    <row r="403" spans="1:26" ht="12" x14ac:dyDescent="0.2">
      <c r="A403" s="1933"/>
      <c r="B403" s="1933"/>
      <c r="C403" s="1933"/>
      <c r="D403" s="1933"/>
      <c r="E403" s="1933"/>
      <c r="F403" s="1933"/>
      <c r="G403" s="1934"/>
      <c r="H403" s="1933"/>
      <c r="I403" s="1933"/>
      <c r="J403" s="1933"/>
      <c r="K403" s="1933"/>
      <c r="L403" s="1933"/>
      <c r="M403" s="1933"/>
      <c r="N403" s="1933"/>
      <c r="O403" s="1933"/>
      <c r="P403" s="1933"/>
      <c r="Q403" s="1933"/>
      <c r="R403" s="1933"/>
      <c r="S403" s="1933"/>
      <c r="T403" s="1933"/>
      <c r="U403" s="1933"/>
      <c r="V403" s="1933"/>
      <c r="W403" s="1933"/>
      <c r="X403" s="1933"/>
      <c r="Y403" s="1933"/>
      <c r="Z403" s="1933"/>
    </row>
    <row r="404" spans="1:26" ht="12" x14ac:dyDescent="0.2">
      <c r="A404" s="1933"/>
      <c r="B404" s="1933"/>
      <c r="C404" s="1933"/>
      <c r="D404" s="1933"/>
      <c r="E404" s="1933"/>
      <c r="F404" s="1933"/>
      <c r="G404" s="1934"/>
      <c r="H404" s="1933"/>
      <c r="I404" s="1933"/>
      <c r="J404" s="1933"/>
      <c r="K404" s="1933"/>
      <c r="L404" s="1933"/>
      <c r="M404" s="1933"/>
      <c r="N404" s="1933"/>
      <c r="O404" s="1933"/>
      <c r="P404" s="1933"/>
      <c r="Q404" s="1933"/>
      <c r="R404" s="1933"/>
      <c r="S404" s="1933"/>
      <c r="T404" s="1933"/>
      <c r="U404" s="1933"/>
      <c r="V404" s="1933"/>
      <c r="W404" s="1933"/>
      <c r="X404" s="1933"/>
      <c r="Y404" s="1933"/>
      <c r="Z404" s="1933"/>
    </row>
    <row r="405" spans="1:26" ht="12" x14ac:dyDescent="0.2">
      <c r="A405" s="1933"/>
      <c r="B405" s="1933"/>
      <c r="C405" s="1933"/>
      <c r="D405" s="1933"/>
      <c r="E405" s="1933"/>
      <c r="F405" s="1933"/>
      <c r="G405" s="1934"/>
      <c r="H405" s="1933"/>
      <c r="I405" s="1933"/>
      <c r="J405" s="1933"/>
      <c r="K405" s="1933"/>
      <c r="L405" s="1933"/>
      <c r="M405" s="1933"/>
      <c r="N405" s="1933"/>
      <c r="O405" s="1933"/>
      <c r="P405" s="1933"/>
      <c r="Q405" s="1933"/>
      <c r="R405" s="1933"/>
      <c r="S405" s="1933"/>
      <c r="T405" s="1933"/>
      <c r="U405" s="1933"/>
      <c r="V405" s="1933"/>
      <c r="W405" s="1933"/>
      <c r="X405" s="1933"/>
      <c r="Y405" s="1933"/>
      <c r="Z405" s="1933"/>
    </row>
    <row r="406" spans="1:26" ht="12" x14ac:dyDescent="0.2">
      <c r="A406" s="1933"/>
      <c r="B406" s="1933"/>
      <c r="C406" s="1933"/>
      <c r="D406" s="1933"/>
      <c r="E406" s="1933"/>
      <c r="F406" s="1933"/>
      <c r="G406" s="1934"/>
      <c r="H406" s="1933"/>
      <c r="I406" s="1933"/>
      <c r="J406" s="1933"/>
      <c r="K406" s="1933"/>
      <c r="L406" s="1933"/>
      <c r="M406" s="1933"/>
      <c r="N406" s="1933"/>
      <c r="O406" s="1933"/>
      <c r="P406" s="1933"/>
      <c r="Q406" s="1933"/>
      <c r="R406" s="1933"/>
      <c r="S406" s="1933"/>
      <c r="T406" s="1933"/>
      <c r="U406" s="1933"/>
      <c r="V406" s="1933"/>
      <c r="W406" s="1933"/>
      <c r="X406" s="1933"/>
      <c r="Y406" s="1933"/>
      <c r="Z406" s="1933"/>
    </row>
    <row r="407" spans="1:26" ht="12" x14ac:dyDescent="0.2">
      <c r="A407" s="1933"/>
      <c r="B407" s="1933"/>
      <c r="C407" s="1933"/>
      <c r="D407" s="1933"/>
      <c r="E407" s="1933"/>
      <c r="F407" s="1933"/>
      <c r="G407" s="1934"/>
      <c r="H407" s="1933"/>
      <c r="I407" s="1933"/>
      <c r="J407" s="1933"/>
      <c r="K407" s="1933"/>
      <c r="L407" s="1933"/>
      <c r="M407" s="1933"/>
      <c r="N407" s="1933"/>
      <c r="O407" s="1933"/>
      <c r="P407" s="1933"/>
      <c r="Q407" s="1933"/>
      <c r="R407" s="1933"/>
      <c r="S407" s="1933"/>
      <c r="T407" s="1933"/>
      <c r="U407" s="1933"/>
      <c r="V407" s="1933"/>
      <c r="W407" s="1933"/>
      <c r="X407" s="1933"/>
      <c r="Y407" s="1933"/>
      <c r="Z407" s="1933"/>
    </row>
    <row r="408" spans="1:26" ht="12" x14ac:dyDescent="0.2">
      <c r="A408" s="1933"/>
      <c r="B408" s="1933"/>
      <c r="C408" s="1933"/>
      <c r="D408" s="1933"/>
      <c r="E408" s="1933"/>
      <c r="F408" s="1933"/>
      <c r="G408" s="1934"/>
      <c r="H408" s="1933"/>
      <c r="I408" s="1933"/>
      <c r="J408" s="1933"/>
      <c r="K408" s="1933"/>
      <c r="L408" s="1933"/>
      <c r="M408" s="1933"/>
      <c r="N408" s="1933"/>
      <c r="O408" s="1933"/>
      <c r="P408" s="1933"/>
      <c r="Q408" s="1933"/>
      <c r="R408" s="1933"/>
      <c r="S408" s="1933"/>
      <c r="T408" s="1933"/>
      <c r="U408" s="1933"/>
      <c r="V408" s="1933"/>
      <c r="W408" s="1933"/>
      <c r="X408" s="1933"/>
      <c r="Y408" s="1933"/>
      <c r="Z408" s="1933"/>
    </row>
    <row r="409" spans="1:26" ht="12" x14ac:dyDescent="0.2">
      <c r="A409" s="1933"/>
      <c r="B409" s="1933"/>
      <c r="C409" s="1933"/>
      <c r="D409" s="1933"/>
      <c r="E409" s="1933"/>
      <c r="F409" s="1933"/>
      <c r="G409" s="1934"/>
      <c r="H409" s="1933"/>
      <c r="I409" s="1933"/>
      <c r="J409" s="1933"/>
      <c r="K409" s="1933"/>
      <c r="L409" s="1933"/>
      <c r="M409" s="1933"/>
      <c r="N409" s="1933"/>
      <c r="O409" s="1933"/>
      <c r="P409" s="1933"/>
      <c r="Q409" s="1933"/>
      <c r="R409" s="1933"/>
      <c r="S409" s="1933"/>
      <c r="T409" s="1933"/>
      <c r="U409" s="1933"/>
      <c r="V409" s="1933"/>
      <c r="W409" s="1933"/>
      <c r="X409" s="1933"/>
      <c r="Y409" s="1933"/>
      <c r="Z409" s="1933"/>
    </row>
    <row r="410" spans="1:26" ht="12" x14ac:dyDescent="0.2">
      <c r="A410" s="1933"/>
      <c r="B410" s="1933"/>
      <c r="C410" s="1933"/>
      <c r="D410" s="1933"/>
      <c r="E410" s="1933"/>
      <c r="F410" s="1933"/>
      <c r="G410" s="1934"/>
      <c r="H410" s="1933"/>
      <c r="I410" s="1933"/>
      <c r="J410" s="1933"/>
      <c r="K410" s="1933"/>
      <c r="L410" s="1933"/>
      <c r="M410" s="1933"/>
      <c r="N410" s="1933"/>
      <c r="O410" s="1933"/>
      <c r="P410" s="1933"/>
      <c r="Q410" s="1933"/>
      <c r="R410" s="1933"/>
      <c r="S410" s="1933"/>
      <c r="T410" s="1933"/>
      <c r="U410" s="1933"/>
      <c r="V410" s="1933"/>
      <c r="W410" s="1933"/>
      <c r="X410" s="1933"/>
      <c r="Y410" s="1933"/>
      <c r="Z410" s="1933"/>
    </row>
    <row r="411" spans="1:26" ht="12" x14ac:dyDescent="0.2">
      <c r="A411" s="1933"/>
      <c r="B411" s="1933"/>
      <c r="C411" s="1933"/>
      <c r="D411" s="1933"/>
      <c r="E411" s="1933"/>
      <c r="F411" s="1933"/>
      <c r="G411" s="1934"/>
      <c r="H411" s="1933"/>
      <c r="I411" s="1933"/>
      <c r="J411" s="1933"/>
      <c r="K411" s="1933"/>
      <c r="L411" s="1933"/>
      <c r="M411" s="1933"/>
      <c r="N411" s="1933"/>
      <c r="O411" s="1933"/>
      <c r="P411" s="1933"/>
      <c r="Q411" s="1933"/>
      <c r="R411" s="1933"/>
      <c r="S411" s="1933"/>
      <c r="T411" s="1933"/>
      <c r="U411" s="1933"/>
      <c r="V411" s="1933"/>
      <c r="W411" s="1933"/>
      <c r="X411" s="1933"/>
      <c r="Y411" s="1933"/>
      <c r="Z411" s="1933"/>
    </row>
    <row r="412" spans="1:26" ht="12" x14ac:dyDescent="0.2">
      <c r="A412" s="1933"/>
      <c r="B412" s="1933"/>
      <c r="C412" s="1933"/>
      <c r="D412" s="1933"/>
      <c r="E412" s="1933"/>
      <c r="F412" s="1933"/>
      <c r="G412" s="1934"/>
      <c r="H412" s="1933"/>
      <c r="I412" s="1933"/>
      <c r="J412" s="1933"/>
      <c r="K412" s="1933"/>
      <c r="L412" s="1933"/>
      <c r="M412" s="1933"/>
      <c r="N412" s="1933"/>
      <c r="O412" s="1933"/>
      <c r="P412" s="1933"/>
      <c r="Q412" s="1933"/>
      <c r="R412" s="1933"/>
      <c r="S412" s="1933"/>
      <c r="T412" s="1933"/>
      <c r="U412" s="1933"/>
      <c r="V412" s="1933"/>
      <c r="W412" s="1933"/>
      <c r="X412" s="1933"/>
      <c r="Y412" s="1933"/>
      <c r="Z412" s="1933"/>
    </row>
    <row r="413" spans="1:26" ht="12" x14ac:dyDescent="0.2">
      <c r="A413" s="1933"/>
      <c r="B413" s="1933"/>
      <c r="C413" s="1933"/>
      <c r="D413" s="1933"/>
      <c r="E413" s="1933"/>
      <c r="F413" s="1933"/>
      <c r="G413" s="1934"/>
      <c r="H413" s="1933"/>
      <c r="I413" s="1933"/>
      <c r="J413" s="1933"/>
      <c r="K413" s="1933"/>
      <c r="L413" s="1933"/>
      <c r="M413" s="1933"/>
      <c r="N413" s="1933"/>
      <c r="O413" s="1933"/>
      <c r="P413" s="1933"/>
      <c r="Q413" s="1933"/>
      <c r="R413" s="1933"/>
      <c r="S413" s="1933"/>
      <c r="T413" s="1933"/>
      <c r="U413" s="1933"/>
      <c r="V413" s="1933"/>
      <c r="W413" s="1933"/>
      <c r="X413" s="1933"/>
      <c r="Y413" s="1933"/>
      <c r="Z413" s="1933"/>
    </row>
    <row r="414" spans="1:26" ht="12" x14ac:dyDescent="0.2">
      <c r="A414" s="1933"/>
      <c r="B414" s="1933"/>
      <c r="C414" s="1933"/>
      <c r="D414" s="1933"/>
      <c r="E414" s="1933"/>
      <c r="F414" s="1933"/>
      <c r="G414" s="1934"/>
      <c r="H414" s="1933"/>
      <c r="I414" s="1933"/>
      <c r="J414" s="1933"/>
      <c r="K414" s="1933"/>
      <c r="L414" s="1933"/>
      <c r="M414" s="1933"/>
      <c r="N414" s="1933"/>
      <c r="O414" s="1933"/>
      <c r="P414" s="1933"/>
      <c r="Q414" s="1933"/>
      <c r="R414" s="1933"/>
      <c r="S414" s="1933"/>
      <c r="T414" s="1933"/>
      <c r="U414" s="1933"/>
      <c r="V414" s="1933"/>
      <c r="W414" s="1933"/>
      <c r="X414" s="1933"/>
      <c r="Y414" s="1933"/>
      <c r="Z414" s="1933"/>
    </row>
    <row r="415" spans="1:26" ht="12" x14ac:dyDescent="0.2">
      <c r="A415" s="1933"/>
      <c r="B415" s="1933"/>
      <c r="C415" s="1933"/>
      <c r="D415" s="1933"/>
      <c r="E415" s="1933"/>
      <c r="F415" s="1933"/>
      <c r="G415" s="1934"/>
      <c r="H415" s="1933"/>
      <c r="I415" s="1933"/>
      <c r="J415" s="1933"/>
      <c r="K415" s="1933"/>
      <c r="L415" s="1933"/>
      <c r="M415" s="1933"/>
      <c r="N415" s="1933"/>
      <c r="O415" s="1933"/>
      <c r="P415" s="1933"/>
      <c r="Q415" s="1933"/>
      <c r="R415" s="1933"/>
      <c r="S415" s="1933"/>
      <c r="T415" s="1933"/>
      <c r="U415" s="1933"/>
      <c r="V415" s="1933"/>
      <c r="W415" s="1933"/>
      <c r="X415" s="1933"/>
      <c r="Y415" s="1933"/>
      <c r="Z415" s="1933"/>
    </row>
    <row r="416" spans="1:26" ht="12" x14ac:dyDescent="0.2">
      <c r="A416" s="1933"/>
      <c r="B416" s="1933"/>
      <c r="C416" s="1933"/>
      <c r="D416" s="1933"/>
      <c r="E416" s="1933"/>
      <c r="F416" s="1933"/>
      <c r="G416" s="1934"/>
      <c r="H416" s="1933"/>
      <c r="I416" s="1933"/>
      <c r="J416" s="1933"/>
      <c r="K416" s="1933"/>
      <c r="L416" s="1933"/>
      <c r="M416" s="1933"/>
      <c r="N416" s="1933"/>
      <c r="O416" s="1933"/>
      <c r="P416" s="1933"/>
      <c r="Q416" s="1933"/>
      <c r="R416" s="1933"/>
      <c r="S416" s="1933"/>
      <c r="T416" s="1933"/>
      <c r="U416" s="1933"/>
      <c r="V416" s="1933"/>
      <c r="W416" s="1933"/>
      <c r="X416" s="1933"/>
      <c r="Y416" s="1933"/>
      <c r="Z416" s="1933"/>
    </row>
    <row r="417" spans="1:26" ht="12" x14ac:dyDescent="0.2">
      <c r="A417" s="1933"/>
      <c r="B417" s="1933"/>
      <c r="C417" s="1933"/>
      <c r="D417" s="1933"/>
      <c r="E417" s="1933"/>
      <c r="F417" s="1933"/>
      <c r="G417" s="1934"/>
      <c r="H417" s="1933"/>
      <c r="I417" s="1933"/>
      <c r="J417" s="1933"/>
      <c r="K417" s="1933"/>
      <c r="L417" s="1933"/>
      <c r="M417" s="1933"/>
      <c r="N417" s="1933"/>
      <c r="O417" s="1933"/>
      <c r="P417" s="1933"/>
      <c r="Q417" s="1933"/>
      <c r="R417" s="1933"/>
      <c r="S417" s="1933"/>
      <c r="T417" s="1933"/>
      <c r="U417" s="1933"/>
      <c r="V417" s="1933"/>
      <c r="W417" s="1933"/>
      <c r="X417" s="1933"/>
      <c r="Y417" s="1933"/>
      <c r="Z417" s="1933"/>
    </row>
    <row r="418" spans="1:26" ht="12" x14ac:dyDescent="0.2">
      <c r="A418" s="1933"/>
      <c r="B418" s="1933"/>
      <c r="C418" s="1933"/>
      <c r="D418" s="1933"/>
      <c r="E418" s="1933"/>
      <c r="F418" s="1933"/>
      <c r="G418" s="1934"/>
      <c r="H418" s="1933"/>
      <c r="I418" s="1933"/>
      <c r="J418" s="1933"/>
      <c r="K418" s="1933"/>
      <c r="L418" s="1933"/>
      <c r="M418" s="1933"/>
      <c r="N418" s="1933"/>
      <c r="O418" s="1933"/>
      <c r="P418" s="1933"/>
      <c r="Q418" s="1933"/>
      <c r="R418" s="1933"/>
      <c r="S418" s="1933"/>
      <c r="T418" s="1933"/>
      <c r="U418" s="1933"/>
      <c r="V418" s="1933"/>
      <c r="W418" s="1933"/>
      <c r="X418" s="1933"/>
      <c r="Y418" s="1933"/>
      <c r="Z418" s="1933"/>
    </row>
    <row r="419" spans="1:26" ht="12" x14ac:dyDescent="0.2">
      <c r="A419" s="1933"/>
      <c r="B419" s="1933"/>
      <c r="C419" s="1933"/>
      <c r="D419" s="1933"/>
      <c r="E419" s="1933"/>
      <c r="F419" s="1933"/>
      <c r="G419" s="1934"/>
      <c r="H419" s="1933"/>
      <c r="I419" s="1933"/>
      <c r="J419" s="1933"/>
      <c r="K419" s="1933"/>
      <c r="L419" s="1933"/>
      <c r="M419" s="1933"/>
      <c r="N419" s="1933"/>
      <c r="O419" s="1933"/>
      <c r="P419" s="1933"/>
      <c r="Q419" s="1933"/>
      <c r="R419" s="1933"/>
      <c r="S419" s="1933"/>
      <c r="T419" s="1933"/>
      <c r="U419" s="1933"/>
      <c r="V419" s="1933"/>
      <c r="W419" s="1933"/>
      <c r="X419" s="1933"/>
      <c r="Y419" s="1933"/>
      <c r="Z419" s="1933"/>
    </row>
    <row r="420" spans="1:26" ht="12" x14ac:dyDescent="0.2">
      <c r="A420" s="1933"/>
      <c r="B420" s="1933"/>
      <c r="C420" s="1933"/>
      <c r="D420" s="1933"/>
      <c r="E420" s="1933"/>
      <c r="F420" s="1933"/>
      <c r="G420" s="1934"/>
      <c r="H420" s="1933"/>
      <c r="I420" s="1933"/>
      <c r="J420" s="1933"/>
      <c r="K420" s="1933"/>
      <c r="L420" s="1933"/>
      <c r="M420" s="1933"/>
      <c r="N420" s="1933"/>
      <c r="O420" s="1933"/>
      <c r="P420" s="1933"/>
      <c r="Q420" s="1933"/>
      <c r="R420" s="1933"/>
      <c r="S420" s="1933"/>
      <c r="T420" s="1933"/>
      <c r="U420" s="1933"/>
      <c r="V420" s="1933"/>
      <c r="W420" s="1933"/>
      <c r="X420" s="1933"/>
      <c r="Y420" s="1933"/>
      <c r="Z420" s="1933"/>
    </row>
    <row r="421" spans="1:26" ht="12" x14ac:dyDescent="0.2">
      <c r="A421" s="1933"/>
      <c r="B421" s="1933"/>
      <c r="C421" s="1933"/>
      <c r="D421" s="1933"/>
      <c r="E421" s="1933"/>
      <c r="F421" s="1933"/>
      <c r="G421" s="1934"/>
      <c r="H421" s="1933"/>
      <c r="I421" s="1933"/>
      <c r="J421" s="1933"/>
      <c r="K421" s="1933"/>
      <c r="L421" s="1933"/>
      <c r="M421" s="1933"/>
      <c r="N421" s="1933"/>
      <c r="O421" s="1933"/>
      <c r="P421" s="1933"/>
      <c r="Q421" s="1933"/>
      <c r="R421" s="1933"/>
      <c r="S421" s="1933"/>
      <c r="T421" s="1933"/>
      <c r="U421" s="1933"/>
      <c r="V421" s="1933"/>
      <c r="W421" s="1933"/>
      <c r="X421" s="1933"/>
      <c r="Y421" s="1933"/>
      <c r="Z421" s="1933"/>
    </row>
    <row r="422" spans="1:26" ht="12" x14ac:dyDescent="0.2">
      <c r="A422" s="1933"/>
      <c r="B422" s="1933"/>
      <c r="C422" s="1933"/>
      <c r="D422" s="1933"/>
      <c r="E422" s="1933"/>
      <c r="F422" s="1933"/>
      <c r="G422" s="1934"/>
      <c r="H422" s="1933"/>
      <c r="I422" s="1933"/>
      <c r="J422" s="1933"/>
      <c r="K422" s="1933"/>
      <c r="L422" s="1933"/>
      <c r="M422" s="1933"/>
      <c r="N422" s="1933"/>
      <c r="O422" s="1933"/>
      <c r="P422" s="1933"/>
      <c r="Q422" s="1933"/>
      <c r="R422" s="1933"/>
      <c r="S422" s="1933"/>
      <c r="T422" s="1933"/>
      <c r="U422" s="1933"/>
      <c r="V422" s="1933"/>
      <c r="W422" s="1933"/>
      <c r="X422" s="1933"/>
      <c r="Y422" s="1933"/>
      <c r="Z422" s="1933"/>
    </row>
    <row r="423" spans="1:26" ht="12" x14ac:dyDescent="0.2">
      <c r="A423" s="1933"/>
      <c r="B423" s="1933"/>
      <c r="C423" s="1933"/>
      <c r="D423" s="1933"/>
      <c r="E423" s="1933"/>
      <c r="F423" s="1933"/>
      <c r="G423" s="1934"/>
      <c r="H423" s="1933"/>
      <c r="I423" s="1933"/>
      <c r="J423" s="1933"/>
      <c r="K423" s="1933"/>
      <c r="L423" s="1933"/>
      <c r="M423" s="1933"/>
      <c r="N423" s="1933"/>
      <c r="O423" s="1933"/>
      <c r="P423" s="1933"/>
      <c r="Q423" s="1933"/>
      <c r="R423" s="1933"/>
      <c r="S423" s="1933"/>
      <c r="T423" s="1933"/>
      <c r="U423" s="1933"/>
      <c r="V423" s="1933"/>
      <c r="W423" s="1933"/>
      <c r="X423" s="1933"/>
      <c r="Y423" s="1933"/>
      <c r="Z423" s="1933"/>
    </row>
    <row r="424" spans="1:26" ht="12" x14ac:dyDescent="0.2">
      <c r="A424" s="1933"/>
      <c r="B424" s="1933"/>
      <c r="C424" s="1933"/>
      <c r="D424" s="1933"/>
      <c r="E424" s="1933"/>
      <c r="F424" s="1933"/>
      <c r="G424" s="1934"/>
      <c r="H424" s="1933"/>
      <c r="I424" s="1933"/>
      <c r="J424" s="1933"/>
      <c r="K424" s="1933"/>
      <c r="L424" s="1933"/>
      <c r="M424" s="1933"/>
      <c r="N424" s="1933"/>
      <c r="O424" s="1933"/>
      <c r="P424" s="1933"/>
      <c r="Q424" s="1933"/>
      <c r="R424" s="1933"/>
      <c r="S424" s="1933"/>
      <c r="T424" s="1933"/>
      <c r="U424" s="1933"/>
      <c r="V424" s="1933"/>
      <c r="W424" s="1933"/>
      <c r="X424" s="1933"/>
      <c r="Y424" s="1933"/>
      <c r="Z424" s="1933"/>
    </row>
    <row r="425" spans="1:26" ht="12" x14ac:dyDescent="0.2">
      <c r="A425" s="1933"/>
      <c r="B425" s="1933"/>
      <c r="C425" s="1933"/>
      <c r="D425" s="1933"/>
      <c r="E425" s="1933"/>
      <c r="F425" s="1933"/>
      <c r="G425" s="1934"/>
      <c r="H425" s="1933"/>
      <c r="I425" s="1933"/>
      <c r="J425" s="1933"/>
      <c r="K425" s="1933"/>
      <c r="L425" s="1933"/>
      <c r="M425" s="1933"/>
      <c r="N425" s="1933"/>
      <c r="O425" s="1933"/>
      <c r="P425" s="1933"/>
      <c r="Q425" s="1933"/>
      <c r="R425" s="1933"/>
      <c r="S425" s="1933"/>
      <c r="T425" s="1933"/>
      <c r="U425" s="1933"/>
      <c r="V425" s="1933"/>
      <c r="W425" s="1933"/>
      <c r="X425" s="1933"/>
      <c r="Y425" s="1933"/>
      <c r="Z425" s="1933"/>
    </row>
    <row r="426" spans="1:26" ht="12" x14ac:dyDescent="0.2">
      <c r="A426" s="1933"/>
      <c r="B426" s="1933"/>
      <c r="C426" s="1933"/>
      <c r="D426" s="1933"/>
      <c r="E426" s="1933"/>
      <c r="F426" s="1933"/>
      <c r="G426" s="1934"/>
      <c r="H426" s="1933"/>
      <c r="I426" s="1933"/>
      <c r="J426" s="1933"/>
      <c r="K426" s="1933"/>
      <c r="L426" s="1933"/>
      <c r="M426" s="1933"/>
      <c r="N426" s="1933"/>
      <c r="O426" s="1933"/>
      <c r="P426" s="1933"/>
      <c r="Q426" s="1933"/>
      <c r="R426" s="1933"/>
      <c r="S426" s="1933"/>
      <c r="T426" s="1933"/>
      <c r="U426" s="1933"/>
      <c r="V426" s="1933"/>
      <c r="W426" s="1933"/>
      <c r="X426" s="1933"/>
      <c r="Y426" s="1933"/>
      <c r="Z426" s="1933"/>
    </row>
    <row r="427" spans="1:26" ht="12" x14ac:dyDescent="0.2">
      <c r="A427" s="1933"/>
      <c r="B427" s="1933"/>
      <c r="C427" s="1933"/>
      <c r="D427" s="1933"/>
      <c r="E427" s="1933"/>
      <c r="F427" s="1933"/>
      <c r="G427" s="1934"/>
      <c r="H427" s="1933"/>
      <c r="I427" s="1933"/>
      <c r="J427" s="1933"/>
      <c r="K427" s="1933"/>
      <c r="L427" s="1933"/>
      <c r="M427" s="1933"/>
      <c r="N427" s="1933"/>
      <c r="O427" s="1933"/>
      <c r="P427" s="1933"/>
      <c r="Q427" s="1933"/>
      <c r="R427" s="1933"/>
      <c r="S427" s="1933"/>
      <c r="T427" s="1933"/>
      <c r="U427" s="1933"/>
      <c r="V427" s="1933"/>
      <c r="W427" s="1933"/>
      <c r="X427" s="1933"/>
      <c r="Y427" s="1933"/>
      <c r="Z427" s="1933"/>
    </row>
    <row r="428" spans="1:26" ht="12" x14ac:dyDescent="0.2">
      <c r="A428" s="1933"/>
      <c r="B428" s="1933"/>
      <c r="C428" s="1933"/>
      <c r="D428" s="1933"/>
      <c r="E428" s="1933"/>
      <c r="F428" s="1933"/>
      <c r="G428" s="1934"/>
      <c r="H428" s="1933"/>
      <c r="I428" s="1933"/>
      <c r="J428" s="1933"/>
      <c r="K428" s="1933"/>
      <c r="L428" s="1933"/>
      <c r="M428" s="1933"/>
      <c r="N428" s="1933"/>
      <c r="O428" s="1933"/>
      <c r="P428" s="1933"/>
      <c r="Q428" s="1933"/>
      <c r="R428" s="1933"/>
      <c r="S428" s="1933"/>
      <c r="T428" s="1933"/>
      <c r="U428" s="1933"/>
      <c r="V428" s="1933"/>
      <c r="W428" s="1933"/>
      <c r="X428" s="1933"/>
      <c r="Y428" s="1933"/>
      <c r="Z428" s="1933"/>
    </row>
    <row r="429" spans="1:26" ht="12" x14ac:dyDescent="0.2">
      <c r="A429" s="1933"/>
      <c r="B429" s="1933"/>
      <c r="C429" s="1933"/>
      <c r="D429" s="1933"/>
      <c r="E429" s="1933"/>
      <c r="F429" s="1933"/>
      <c r="G429" s="1934"/>
      <c r="H429" s="1933"/>
      <c r="I429" s="1933"/>
      <c r="J429" s="1933"/>
      <c r="K429" s="1933"/>
      <c r="L429" s="1933"/>
      <c r="M429" s="1933"/>
      <c r="N429" s="1933"/>
      <c r="O429" s="1933"/>
      <c r="P429" s="1933"/>
      <c r="Q429" s="1933"/>
      <c r="R429" s="1933"/>
      <c r="S429" s="1933"/>
      <c r="T429" s="1933"/>
      <c r="U429" s="1933"/>
      <c r="V429" s="1933"/>
      <c r="W429" s="1933"/>
      <c r="X429" s="1933"/>
      <c r="Y429" s="1933"/>
      <c r="Z429" s="1933"/>
    </row>
    <row r="430" spans="1:26" ht="12" x14ac:dyDescent="0.2">
      <c r="A430" s="1933"/>
      <c r="B430" s="1933"/>
      <c r="C430" s="1933"/>
      <c r="D430" s="1933"/>
      <c r="E430" s="1933"/>
      <c r="F430" s="1933"/>
      <c r="G430" s="1934"/>
      <c r="H430" s="1933"/>
      <c r="I430" s="1933"/>
      <c r="J430" s="1933"/>
      <c r="K430" s="1933"/>
      <c r="L430" s="1933"/>
      <c r="M430" s="1933"/>
      <c r="N430" s="1933"/>
      <c r="O430" s="1933"/>
      <c r="P430" s="1933"/>
      <c r="Q430" s="1933"/>
      <c r="R430" s="1933"/>
      <c r="S430" s="1933"/>
      <c r="T430" s="1933"/>
      <c r="U430" s="1933"/>
      <c r="V430" s="1933"/>
      <c r="W430" s="1933"/>
      <c r="X430" s="1933"/>
      <c r="Y430" s="1933"/>
      <c r="Z430" s="1933"/>
    </row>
    <row r="431" spans="1:26" ht="12" x14ac:dyDescent="0.2">
      <c r="A431" s="1933"/>
      <c r="B431" s="1933"/>
      <c r="C431" s="1933"/>
      <c r="D431" s="1933"/>
      <c r="E431" s="1933"/>
      <c r="F431" s="1933"/>
      <c r="G431" s="1934"/>
      <c r="H431" s="1933"/>
      <c r="I431" s="1933"/>
      <c r="J431" s="1933"/>
      <c r="K431" s="1933"/>
      <c r="L431" s="1933"/>
      <c r="M431" s="1933"/>
      <c r="N431" s="1933"/>
      <c r="O431" s="1933"/>
      <c r="P431" s="1933"/>
      <c r="Q431" s="1933"/>
      <c r="R431" s="1933"/>
      <c r="S431" s="1933"/>
      <c r="T431" s="1933"/>
      <c r="U431" s="1933"/>
      <c r="V431" s="1933"/>
      <c r="W431" s="1933"/>
      <c r="X431" s="1933"/>
      <c r="Y431" s="1933"/>
      <c r="Z431" s="1933"/>
    </row>
    <row r="432" spans="1:26" ht="12" x14ac:dyDescent="0.2">
      <c r="A432" s="1933"/>
      <c r="B432" s="1933"/>
      <c r="C432" s="1933"/>
      <c r="D432" s="1933"/>
      <c r="E432" s="1933"/>
      <c r="F432" s="1933"/>
      <c r="G432" s="1934"/>
      <c r="H432" s="1933"/>
      <c r="I432" s="1933"/>
      <c r="J432" s="1933"/>
      <c r="K432" s="1933"/>
      <c r="L432" s="1933"/>
      <c r="M432" s="1933"/>
      <c r="N432" s="1933"/>
      <c r="O432" s="1933"/>
      <c r="P432" s="1933"/>
      <c r="Q432" s="1933"/>
      <c r="R432" s="1933"/>
      <c r="S432" s="1933"/>
      <c r="T432" s="1933"/>
      <c r="U432" s="1933"/>
      <c r="V432" s="1933"/>
      <c r="W432" s="1933"/>
      <c r="X432" s="1933"/>
      <c r="Y432" s="1933"/>
      <c r="Z432" s="1933"/>
    </row>
    <row r="433" spans="1:26" ht="12" x14ac:dyDescent="0.2">
      <c r="A433" s="1933"/>
      <c r="B433" s="1933"/>
      <c r="C433" s="1933"/>
      <c r="D433" s="1933"/>
      <c r="E433" s="1933"/>
      <c r="F433" s="1933"/>
      <c r="G433" s="1934"/>
      <c r="H433" s="1933"/>
      <c r="I433" s="1933"/>
      <c r="J433" s="1933"/>
      <c r="K433" s="1933"/>
      <c r="L433" s="1933"/>
      <c r="M433" s="1933"/>
      <c r="N433" s="1933"/>
      <c r="O433" s="1933"/>
      <c r="P433" s="1933"/>
      <c r="Q433" s="1933"/>
      <c r="R433" s="1933"/>
      <c r="S433" s="1933"/>
      <c r="T433" s="1933"/>
      <c r="U433" s="1933"/>
      <c r="V433" s="1933"/>
      <c r="W433" s="1933"/>
      <c r="X433" s="1933"/>
      <c r="Y433" s="1933"/>
      <c r="Z433" s="1933"/>
    </row>
    <row r="434" spans="1:26" ht="12" x14ac:dyDescent="0.2">
      <c r="A434" s="1933"/>
      <c r="B434" s="1933"/>
      <c r="C434" s="1933"/>
      <c r="D434" s="1933"/>
      <c r="E434" s="1933"/>
      <c r="F434" s="1933"/>
      <c r="G434" s="1934"/>
      <c r="H434" s="1933"/>
      <c r="I434" s="1933"/>
      <c r="J434" s="1933"/>
      <c r="K434" s="1933"/>
      <c r="L434" s="1933"/>
      <c r="M434" s="1933"/>
      <c r="N434" s="1933"/>
      <c r="O434" s="1933"/>
      <c r="P434" s="1933"/>
      <c r="Q434" s="1933"/>
      <c r="R434" s="1933"/>
      <c r="S434" s="1933"/>
      <c r="T434" s="1933"/>
      <c r="U434" s="1933"/>
      <c r="V434" s="1933"/>
      <c r="W434" s="1933"/>
      <c r="X434" s="1933"/>
      <c r="Y434" s="1933"/>
      <c r="Z434" s="1933"/>
    </row>
    <row r="435" spans="1:26" ht="12" x14ac:dyDescent="0.2">
      <c r="A435" s="1933"/>
      <c r="B435" s="1933"/>
      <c r="C435" s="1933"/>
      <c r="D435" s="1933"/>
      <c r="E435" s="1933"/>
      <c r="F435" s="1933"/>
      <c r="G435" s="1934"/>
      <c r="H435" s="1933"/>
      <c r="I435" s="1933"/>
      <c r="J435" s="1933"/>
      <c r="K435" s="1933"/>
      <c r="L435" s="1933"/>
      <c r="M435" s="1933"/>
      <c r="N435" s="1933"/>
      <c r="O435" s="1933"/>
      <c r="P435" s="1933"/>
      <c r="Q435" s="1933"/>
      <c r="R435" s="1933"/>
      <c r="S435" s="1933"/>
      <c r="T435" s="1933"/>
      <c r="U435" s="1933"/>
      <c r="V435" s="1933"/>
      <c r="W435" s="1933"/>
      <c r="X435" s="1933"/>
      <c r="Y435" s="1933"/>
      <c r="Z435" s="1933"/>
    </row>
    <row r="436" spans="1:26" ht="12" x14ac:dyDescent="0.2">
      <c r="A436" s="1933"/>
      <c r="B436" s="1933"/>
      <c r="C436" s="1933"/>
      <c r="D436" s="1933"/>
      <c r="E436" s="1933"/>
      <c r="F436" s="1933"/>
      <c r="G436" s="1934"/>
      <c r="H436" s="1933"/>
      <c r="I436" s="1933"/>
      <c r="J436" s="1933"/>
      <c r="K436" s="1933"/>
      <c r="L436" s="1933"/>
      <c r="M436" s="1933"/>
      <c r="N436" s="1933"/>
      <c r="O436" s="1933"/>
      <c r="P436" s="1933"/>
      <c r="Q436" s="1933"/>
      <c r="R436" s="1933"/>
      <c r="S436" s="1933"/>
      <c r="T436" s="1933"/>
      <c r="U436" s="1933"/>
      <c r="V436" s="1933"/>
      <c r="W436" s="1933"/>
      <c r="X436" s="1933"/>
      <c r="Y436" s="1933"/>
      <c r="Z436" s="1933"/>
    </row>
    <row r="437" spans="1:26" ht="12" x14ac:dyDescent="0.2">
      <c r="A437" s="1933"/>
      <c r="B437" s="1933"/>
      <c r="C437" s="1933"/>
      <c r="D437" s="1933"/>
      <c r="E437" s="1933"/>
      <c r="F437" s="1933"/>
      <c r="G437" s="1934"/>
      <c r="H437" s="1933"/>
      <c r="I437" s="1933"/>
      <c r="J437" s="1933"/>
      <c r="K437" s="1933"/>
      <c r="L437" s="1933"/>
      <c r="M437" s="1933"/>
      <c r="N437" s="1933"/>
      <c r="O437" s="1933"/>
      <c r="P437" s="1933"/>
      <c r="Q437" s="1933"/>
      <c r="R437" s="1933"/>
      <c r="S437" s="1933"/>
      <c r="T437" s="1933"/>
      <c r="U437" s="1933"/>
      <c r="V437" s="1933"/>
      <c r="W437" s="1933"/>
      <c r="X437" s="1933"/>
      <c r="Y437" s="1933"/>
      <c r="Z437" s="1933"/>
    </row>
    <row r="438" spans="1:26" ht="12" x14ac:dyDescent="0.2">
      <c r="A438" s="1933"/>
      <c r="B438" s="1933"/>
      <c r="C438" s="1933"/>
      <c r="D438" s="1933"/>
      <c r="E438" s="1933"/>
      <c r="F438" s="1933"/>
      <c r="G438" s="1934"/>
      <c r="H438" s="1933"/>
      <c r="I438" s="1933"/>
      <c r="J438" s="1933"/>
      <c r="K438" s="1933"/>
      <c r="L438" s="1933"/>
      <c r="M438" s="1933"/>
      <c r="N438" s="1933"/>
      <c r="O438" s="1933"/>
      <c r="P438" s="1933"/>
      <c r="Q438" s="1933"/>
      <c r="R438" s="1933"/>
      <c r="S438" s="1933"/>
      <c r="T438" s="1933"/>
      <c r="U438" s="1933"/>
      <c r="V438" s="1933"/>
      <c r="W438" s="1933"/>
      <c r="X438" s="1933"/>
      <c r="Y438" s="1933"/>
      <c r="Z438" s="1933"/>
    </row>
    <row r="439" spans="1:26" ht="12" x14ac:dyDescent="0.2">
      <c r="A439" s="1933"/>
      <c r="B439" s="1933"/>
      <c r="C439" s="1933"/>
      <c r="D439" s="1933"/>
      <c r="E439" s="1933"/>
      <c r="F439" s="1933"/>
      <c r="G439" s="1934"/>
      <c r="H439" s="1933"/>
      <c r="I439" s="1933"/>
      <c r="J439" s="1933"/>
      <c r="K439" s="1933"/>
      <c r="L439" s="1933"/>
      <c r="M439" s="1933"/>
      <c r="N439" s="1933"/>
      <c r="O439" s="1933"/>
      <c r="P439" s="1933"/>
      <c r="Q439" s="1933"/>
      <c r="R439" s="1933"/>
      <c r="S439" s="1933"/>
      <c r="T439" s="1933"/>
      <c r="U439" s="1933"/>
      <c r="V439" s="1933"/>
      <c r="W439" s="1933"/>
      <c r="X439" s="1933"/>
      <c r="Y439" s="1933"/>
      <c r="Z439" s="1933"/>
    </row>
    <row r="440" spans="1:26" ht="12" x14ac:dyDescent="0.2">
      <c r="A440" s="1933"/>
      <c r="B440" s="1933"/>
      <c r="C440" s="1933"/>
      <c r="D440" s="1933"/>
      <c r="E440" s="1933"/>
      <c r="F440" s="1933"/>
      <c r="G440" s="1934"/>
      <c r="H440" s="1933"/>
      <c r="I440" s="1933"/>
      <c r="J440" s="1933"/>
      <c r="K440" s="1933"/>
      <c r="L440" s="1933"/>
      <c r="M440" s="1933"/>
      <c r="N440" s="1933"/>
      <c r="O440" s="1933"/>
      <c r="P440" s="1933"/>
      <c r="Q440" s="1933"/>
      <c r="R440" s="1933"/>
      <c r="S440" s="1933"/>
      <c r="T440" s="1933"/>
      <c r="U440" s="1933"/>
      <c r="V440" s="1933"/>
      <c r="W440" s="1933"/>
      <c r="X440" s="1933"/>
      <c r="Y440" s="1933"/>
      <c r="Z440" s="1933"/>
    </row>
    <row r="441" spans="1:26" ht="12" x14ac:dyDescent="0.2">
      <c r="A441" s="1933"/>
      <c r="B441" s="1933"/>
      <c r="C441" s="1933"/>
      <c r="D441" s="1933"/>
      <c r="E441" s="1933"/>
      <c r="F441" s="1933"/>
      <c r="G441" s="1934"/>
      <c r="H441" s="1933"/>
      <c r="I441" s="1933"/>
      <c r="J441" s="1933"/>
      <c r="K441" s="1933"/>
      <c r="L441" s="1933"/>
      <c r="M441" s="1933"/>
      <c r="N441" s="1933"/>
      <c r="O441" s="1933"/>
      <c r="P441" s="1933"/>
      <c r="Q441" s="1933"/>
      <c r="R441" s="1933"/>
      <c r="S441" s="1933"/>
      <c r="T441" s="1933"/>
      <c r="U441" s="1933"/>
      <c r="V441" s="1933"/>
      <c r="W441" s="1933"/>
      <c r="X441" s="1933"/>
      <c r="Y441" s="1933"/>
      <c r="Z441" s="1933"/>
    </row>
    <row r="442" spans="1:26" ht="12" x14ac:dyDescent="0.2">
      <c r="A442" s="1933"/>
      <c r="B442" s="1933"/>
      <c r="C442" s="1933"/>
      <c r="D442" s="1933"/>
      <c r="E442" s="1933"/>
      <c r="F442" s="1933"/>
      <c r="G442" s="1934"/>
      <c r="H442" s="1933"/>
      <c r="I442" s="1933"/>
      <c r="J442" s="1933"/>
      <c r="K442" s="1933"/>
      <c r="L442" s="1933"/>
      <c r="M442" s="1933"/>
      <c r="N442" s="1933"/>
      <c r="O442" s="1933"/>
      <c r="P442" s="1933"/>
      <c r="Q442" s="1933"/>
      <c r="R442" s="1933"/>
      <c r="S442" s="1933"/>
      <c r="T442" s="1933"/>
      <c r="U442" s="1933"/>
      <c r="V442" s="1933"/>
      <c r="W442" s="1933"/>
      <c r="X442" s="1933"/>
      <c r="Y442" s="1933"/>
      <c r="Z442" s="1933"/>
    </row>
    <row r="443" spans="1:26" ht="12" x14ac:dyDescent="0.2">
      <c r="A443" s="1933"/>
      <c r="B443" s="1933"/>
      <c r="C443" s="1933"/>
      <c r="D443" s="1933"/>
      <c r="E443" s="1933"/>
      <c r="F443" s="1933"/>
      <c r="G443" s="1934"/>
      <c r="H443" s="1933"/>
      <c r="I443" s="1933"/>
      <c r="J443" s="1933"/>
      <c r="K443" s="1933"/>
      <c r="L443" s="1933"/>
      <c r="M443" s="1933"/>
      <c r="N443" s="1933"/>
      <c r="O443" s="1933"/>
      <c r="P443" s="1933"/>
      <c r="Q443" s="1933"/>
      <c r="R443" s="1933"/>
      <c r="S443" s="1933"/>
      <c r="T443" s="1933"/>
      <c r="U443" s="1933"/>
      <c r="V443" s="1933"/>
      <c r="W443" s="1933"/>
      <c r="X443" s="1933"/>
      <c r="Y443" s="1933"/>
      <c r="Z443" s="1933"/>
    </row>
    <row r="444" spans="1:26" ht="12" x14ac:dyDescent="0.2">
      <c r="A444" s="1933"/>
      <c r="B444" s="1933"/>
      <c r="C444" s="1933"/>
      <c r="D444" s="1933"/>
      <c r="E444" s="1933"/>
      <c r="F444" s="1933"/>
      <c r="G444" s="1934"/>
      <c r="H444" s="1933"/>
      <c r="I444" s="1933"/>
      <c r="J444" s="1933"/>
      <c r="K444" s="1933"/>
      <c r="L444" s="1933"/>
      <c r="M444" s="1933"/>
      <c r="N444" s="1933"/>
      <c r="O444" s="1933"/>
      <c r="P444" s="1933"/>
      <c r="Q444" s="1933"/>
      <c r="R444" s="1933"/>
      <c r="S444" s="1933"/>
      <c r="T444" s="1933"/>
      <c r="U444" s="1933"/>
      <c r="V444" s="1933"/>
      <c r="W444" s="1933"/>
      <c r="X444" s="1933"/>
      <c r="Y444" s="1933"/>
      <c r="Z444" s="1933"/>
    </row>
    <row r="445" spans="1:26" ht="12" x14ac:dyDescent="0.2">
      <c r="A445" s="1933"/>
      <c r="B445" s="1933"/>
      <c r="C445" s="1933"/>
      <c r="D445" s="1933"/>
      <c r="E445" s="1933"/>
      <c r="F445" s="1933"/>
      <c r="G445" s="1934"/>
      <c r="H445" s="1933"/>
      <c r="I445" s="1933"/>
      <c r="J445" s="1933"/>
      <c r="K445" s="1933"/>
      <c r="L445" s="1933"/>
      <c r="M445" s="1933"/>
      <c r="N445" s="1933"/>
      <c r="O445" s="1933"/>
      <c r="P445" s="1933"/>
      <c r="Q445" s="1933"/>
      <c r="R445" s="1933"/>
      <c r="S445" s="1933"/>
      <c r="T445" s="1933"/>
      <c r="U445" s="1933"/>
      <c r="V445" s="1933"/>
      <c r="W445" s="1933"/>
      <c r="X445" s="1933"/>
      <c r="Y445" s="1933"/>
      <c r="Z445" s="1933"/>
    </row>
    <row r="446" spans="1:26" ht="12" x14ac:dyDescent="0.2">
      <c r="A446" s="1933"/>
      <c r="B446" s="1933"/>
      <c r="C446" s="1933"/>
      <c r="D446" s="1933"/>
      <c r="E446" s="1933"/>
      <c r="F446" s="1933"/>
      <c r="G446" s="1934"/>
      <c r="H446" s="1933"/>
      <c r="I446" s="1933"/>
      <c r="J446" s="1933"/>
      <c r="K446" s="1933"/>
      <c r="L446" s="1933"/>
      <c r="M446" s="1933"/>
      <c r="N446" s="1933"/>
      <c r="O446" s="1933"/>
      <c r="P446" s="1933"/>
      <c r="Q446" s="1933"/>
      <c r="R446" s="1933"/>
      <c r="S446" s="1933"/>
      <c r="T446" s="1933"/>
      <c r="U446" s="1933"/>
      <c r="V446" s="1933"/>
      <c r="W446" s="1933"/>
      <c r="X446" s="1933"/>
      <c r="Y446" s="1933"/>
      <c r="Z446" s="1933"/>
    </row>
    <row r="447" spans="1:26" ht="12" x14ac:dyDescent="0.2">
      <c r="A447" s="1933"/>
      <c r="B447" s="1933"/>
      <c r="C447" s="1933"/>
      <c r="D447" s="1933"/>
      <c r="E447" s="1933"/>
      <c r="F447" s="1933"/>
      <c r="G447" s="1934"/>
      <c r="H447" s="1933"/>
      <c r="I447" s="1933"/>
      <c r="J447" s="1933"/>
      <c r="K447" s="1933"/>
      <c r="L447" s="1933"/>
      <c r="M447" s="1933"/>
      <c r="N447" s="1933"/>
      <c r="O447" s="1933"/>
      <c r="P447" s="1933"/>
      <c r="Q447" s="1933"/>
      <c r="R447" s="1933"/>
      <c r="S447" s="1933"/>
      <c r="T447" s="1933"/>
      <c r="U447" s="1933"/>
      <c r="V447" s="1933"/>
      <c r="W447" s="1933"/>
      <c r="X447" s="1933"/>
      <c r="Y447" s="1933"/>
      <c r="Z447" s="1933"/>
    </row>
    <row r="448" spans="1:26" ht="12" x14ac:dyDescent="0.2">
      <c r="A448" s="1933"/>
      <c r="B448" s="1933"/>
      <c r="C448" s="1933"/>
      <c r="D448" s="1933"/>
      <c r="E448" s="1933"/>
      <c r="F448" s="1933"/>
      <c r="G448" s="1934"/>
      <c r="H448" s="1933"/>
      <c r="I448" s="1933"/>
      <c r="J448" s="1933"/>
      <c r="K448" s="1933"/>
      <c r="L448" s="1933"/>
      <c r="M448" s="1933"/>
      <c r="N448" s="1933"/>
      <c r="O448" s="1933"/>
      <c r="P448" s="1933"/>
      <c r="Q448" s="1933"/>
      <c r="R448" s="1933"/>
      <c r="S448" s="1933"/>
      <c r="T448" s="1933"/>
      <c r="U448" s="1933"/>
      <c r="V448" s="1933"/>
      <c r="W448" s="1933"/>
      <c r="X448" s="1933"/>
      <c r="Y448" s="1933"/>
      <c r="Z448" s="1933"/>
    </row>
    <row r="449" spans="1:26" ht="12" x14ac:dyDescent="0.2">
      <c r="A449" s="1933"/>
      <c r="B449" s="1933"/>
      <c r="C449" s="1933"/>
      <c r="D449" s="1933"/>
      <c r="E449" s="1933"/>
      <c r="F449" s="1933"/>
      <c r="G449" s="1934"/>
      <c r="H449" s="1933"/>
      <c r="I449" s="1933"/>
      <c r="J449" s="1933"/>
      <c r="K449" s="1933"/>
      <c r="L449" s="1933"/>
      <c r="M449" s="1933"/>
      <c r="N449" s="1933"/>
      <c r="O449" s="1933"/>
      <c r="P449" s="1933"/>
      <c r="Q449" s="1933"/>
      <c r="R449" s="1933"/>
      <c r="S449" s="1933"/>
      <c r="T449" s="1933"/>
      <c r="U449" s="1933"/>
      <c r="V449" s="1933"/>
      <c r="W449" s="1933"/>
      <c r="X449" s="1933"/>
      <c r="Y449" s="1933"/>
      <c r="Z449" s="1933"/>
    </row>
    <row r="450" spans="1:26" ht="12" x14ac:dyDescent="0.2">
      <c r="A450" s="1933"/>
      <c r="B450" s="1933"/>
      <c r="C450" s="1933"/>
      <c r="D450" s="1933"/>
      <c r="E450" s="1933"/>
      <c r="F450" s="1933"/>
      <c r="G450" s="1934"/>
      <c r="H450" s="1933"/>
      <c r="I450" s="1933"/>
      <c r="J450" s="1933"/>
      <c r="K450" s="1933"/>
      <c r="L450" s="1933"/>
      <c r="M450" s="1933"/>
      <c r="N450" s="1933"/>
      <c r="O450" s="1933"/>
      <c r="P450" s="1933"/>
      <c r="Q450" s="1933"/>
      <c r="R450" s="1933"/>
      <c r="S450" s="1933"/>
      <c r="T450" s="1933"/>
      <c r="U450" s="1933"/>
      <c r="V450" s="1933"/>
      <c r="W450" s="1933"/>
      <c r="X450" s="1933"/>
      <c r="Y450" s="1933"/>
      <c r="Z450" s="1933"/>
    </row>
    <row r="451" spans="1:26" ht="12" x14ac:dyDescent="0.2">
      <c r="A451" s="1933"/>
      <c r="B451" s="1933"/>
      <c r="C451" s="1933"/>
      <c r="D451" s="1933"/>
      <c r="E451" s="1933"/>
      <c r="F451" s="1933"/>
      <c r="G451" s="1934"/>
      <c r="H451" s="1933"/>
      <c r="I451" s="1933"/>
      <c r="J451" s="1933"/>
      <c r="K451" s="1933"/>
      <c r="L451" s="1933"/>
      <c r="M451" s="1933"/>
      <c r="N451" s="1933"/>
      <c r="O451" s="1933"/>
      <c r="P451" s="1933"/>
      <c r="Q451" s="1933"/>
      <c r="R451" s="1933"/>
      <c r="S451" s="1933"/>
      <c r="T451" s="1933"/>
      <c r="U451" s="1933"/>
      <c r="V451" s="1933"/>
      <c r="W451" s="1933"/>
      <c r="X451" s="1933"/>
      <c r="Y451" s="1933"/>
      <c r="Z451" s="1933"/>
    </row>
    <row r="452" spans="1:26" ht="12" x14ac:dyDescent="0.2">
      <c r="A452" s="1933"/>
      <c r="B452" s="1933"/>
      <c r="C452" s="1933"/>
      <c r="D452" s="1933"/>
      <c r="E452" s="1933"/>
      <c r="F452" s="1933"/>
      <c r="G452" s="1934"/>
      <c r="H452" s="1933"/>
      <c r="I452" s="1933"/>
      <c r="J452" s="1933"/>
      <c r="K452" s="1933"/>
      <c r="L452" s="1933"/>
      <c r="M452" s="1933"/>
      <c r="N452" s="1933"/>
      <c r="O452" s="1933"/>
      <c r="P452" s="1933"/>
      <c r="Q452" s="1933"/>
      <c r="R452" s="1933"/>
      <c r="S452" s="1933"/>
      <c r="T452" s="1933"/>
      <c r="U452" s="1933"/>
      <c r="V452" s="1933"/>
      <c r="W452" s="1933"/>
      <c r="X452" s="1933"/>
      <c r="Y452" s="1933"/>
      <c r="Z452" s="1933"/>
    </row>
    <row r="453" spans="1:26" ht="12" x14ac:dyDescent="0.2">
      <c r="A453" s="1933"/>
      <c r="B453" s="1933"/>
      <c r="C453" s="1933"/>
      <c r="D453" s="1933"/>
      <c r="E453" s="1933"/>
      <c r="F453" s="1933"/>
      <c r="G453" s="1934"/>
      <c r="H453" s="1933"/>
      <c r="I453" s="1933"/>
      <c r="J453" s="1933"/>
      <c r="K453" s="1933"/>
      <c r="L453" s="1933"/>
      <c r="M453" s="1933"/>
      <c r="N453" s="1933"/>
      <c r="O453" s="1933"/>
      <c r="P453" s="1933"/>
      <c r="Q453" s="1933"/>
      <c r="R453" s="1933"/>
      <c r="S453" s="1933"/>
      <c r="T453" s="1933"/>
      <c r="U453" s="1933"/>
      <c r="V453" s="1933"/>
      <c r="W453" s="1933"/>
      <c r="X453" s="1933"/>
      <c r="Y453" s="1933"/>
      <c r="Z453" s="1933"/>
    </row>
    <row r="454" spans="1:26" ht="12" x14ac:dyDescent="0.2">
      <c r="A454" s="1933"/>
      <c r="B454" s="1933"/>
      <c r="C454" s="1933"/>
      <c r="D454" s="1933"/>
      <c r="E454" s="1933"/>
      <c r="F454" s="1933"/>
      <c r="G454" s="1934"/>
      <c r="H454" s="1933"/>
      <c r="I454" s="1933"/>
      <c r="J454" s="1933"/>
      <c r="K454" s="1933"/>
      <c r="L454" s="1933"/>
      <c r="M454" s="1933"/>
      <c r="N454" s="1933"/>
      <c r="O454" s="1933"/>
      <c r="P454" s="1933"/>
      <c r="Q454" s="1933"/>
      <c r="R454" s="1933"/>
      <c r="S454" s="1933"/>
      <c r="T454" s="1933"/>
      <c r="U454" s="1933"/>
      <c r="V454" s="1933"/>
      <c r="W454" s="1933"/>
      <c r="X454" s="1933"/>
      <c r="Y454" s="1933"/>
      <c r="Z454" s="1933"/>
    </row>
    <row r="455" spans="1:26" ht="12" x14ac:dyDescent="0.2">
      <c r="A455" s="1933"/>
      <c r="B455" s="1933"/>
      <c r="C455" s="1933"/>
      <c r="D455" s="1933"/>
      <c r="E455" s="1933"/>
      <c r="F455" s="1933"/>
      <c r="G455" s="1934"/>
      <c r="H455" s="1933"/>
      <c r="I455" s="1933"/>
      <c r="J455" s="1933"/>
      <c r="K455" s="1933"/>
      <c r="L455" s="1933"/>
      <c r="M455" s="1933"/>
      <c r="N455" s="1933"/>
      <c r="O455" s="1933"/>
      <c r="P455" s="1933"/>
      <c r="Q455" s="1933"/>
      <c r="R455" s="1933"/>
      <c r="S455" s="1933"/>
      <c r="T455" s="1933"/>
      <c r="U455" s="1933"/>
      <c r="V455" s="1933"/>
      <c r="W455" s="1933"/>
      <c r="X455" s="1933"/>
      <c r="Y455" s="1933"/>
      <c r="Z455" s="1933"/>
    </row>
    <row r="456" spans="1:26" ht="12" x14ac:dyDescent="0.2">
      <c r="A456" s="1933"/>
      <c r="B456" s="1933"/>
      <c r="C456" s="1933"/>
      <c r="D456" s="1933"/>
      <c r="E456" s="1933"/>
      <c r="F456" s="1933"/>
      <c r="G456" s="1934"/>
      <c r="H456" s="1933"/>
      <c r="I456" s="1933"/>
      <c r="J456" s="1933"/>
      <c r="K456" s="1933"/>
      <c r="L456" s="1933"/>
      <c r="M456" s="1933"/>
      <c r="N456" s="1933"/>
      <c r="O456" s="1933"/>
      <c r="P456" s="1933"/>
      <c r="Q456" s="1933"/>
      <c r="R456" s="1933"/>
      <c r="S456" s="1933"/>
      <c r="T456" s="1933"/>
      <c r="U456" s="1933"/>
      <c r="V456" s="1933"/>
      <c r="W456" s="1933"/>
      <c r="X456" s="1933"/>
      <c r="Y456" s="1933"/>
      <c r="Z456" s="1933"/>
    </row>
    <row r="457" spans="1:26" ht="12" x14ac:dyDescent="0.2">
      <c r="A457" s="1933"/>
      <c r="B457" s="1933"/>
      <c r="C457" s="1933"/>
      <c r="D457" s="1933"/>
      <c r="E457" s="1933"/>
      <c r="F457" s="1933"/>
      <c r="G457" s="1934"/>
      <c r="H457" s="1933"/>
      <c r="I457" s="1933"/>
      <c r="J457" s="1933"/>
      <c r="K457" s="1933"/>
      <c r="L457" s="1933"/>
      <c r="M457" s="1933"/>
      <c r="N457" s="1933"/>
      <c r="O457" s="1933"/>
      <c r="P457" s="1933"/>
      <c r="Q457" s="1933"/>
      <c r="R457" s="1933"/>
      <c r="S457" s="1933"/>
      <c r="T457" s="1933"/>
      <c r="U457" s="1933"/>
      <c r="V457" s="1933"/>
      <c r="W457" s="1933"/>
      <c r="X457" s="1933"/>
      <c r="Y457" s="1933"/>
      <c r="Z457" s="1933"/>
    </row>
    <row r="458" spans="1:26" ht="12" x14ac:dyDescent="0.2">
      <c r="A458" s="1933"/>
      <c r="B458" s="1933"/>
      <c r="C458" s="1933"/>
      <c r="D458" s="1933"/>
      <c r="E458" s="1933"/>
      <c r="F458" s="1933"/>
      <c r="G458" s="1934"/>
      <c r="H458" s="1933"/>
      <c r="I458" s="1933"/>
      <c r="J458" s="1933"/>
      <c r="K458" s="1933"/>
      <c r="L458" s="1933"/>
      <c r="M458" s="1933"/>
      <c r="N458" s="1933"/>
      <c r="O458" s="1933"/>
      <c r="P458" s="1933"/>
      <c r="Q458" s="1933"/>
      <c r="R458" s="1933"/>
      <c r="S458" s="1933"/>
      <c r="T458" s="1933"/>
      <c r="U458" s="1933"/>
      <c r="V458" s="1933"/>
      <c r="W458" s="1933"/>
      <c r="X458" s="1933"/>
      <c r="Y458" s="1933"/>
      <c r="Z458" s="1933"/>
    </row>
    <row r="459" spans="1:26" ht="12" x14ac:dyDescent="0.2">
      <c r="A459" s="1933"/>
      <c r="B459" s="1933"/>
      <c r="C459" s="1933"/>
      <c r="D459" s="1933"/>
      <c r="E459" s="1933"/>
      <c r="F459" s="1933"/>
      <c r="G459" s="1934"/>
      <c r="H459" s="1933"/>
      <c r="I459" s="1933"/>
      <c r="J459" s="1933"/>
      <c r="K459" s="1933"/>
      <c r="L459" s="1933"/>
      <c r="M459" s="1933"/>
      <c r="N459" s="1933"/>
      <c r="O459" s="1933"/>
      <c r="P459" s="1933"/>
      <c r="Q459" s="1933"/>
      <c r="R459" s="1933"/>
      <c r="S459" s="1933"/>
      <c r="T459" s="1933"/>
      <c r="U459" s="1933"/>
      <c r="V459" s="1933"/>
      <c r="W459" s="1933"/>
      <c r="X459" s="1933"/>
      <c r="Y459" s="1933"/>
      <c r="Z459" s="1933"/>
    </row>
    <row r="460" spans="1:26" ht="12" x14ac:dyDescent="0.2">
      <c r="A460" s="1933"/>
      <c r="B460" s="1933"/>
      <c r="C460" s="1933"/>
      <c r="D460" s="1933"/>
      <c r="E460" s="1933"/>
      <c r="F460" s="1933"/>
      <c r="G460" s="1934"/>
      <c r="H460" s="1933"/>
      <c r="I460" s="1933"/>
      <c r="J460" s="1933"/>
      <c r="K460" s="1933"/>
      <c r="L460" s="1933"/>
      <c r="M460" s="1933"/>
      <c r="N460" s="1933"/>
      <c r="O460" s="1933"/>
      <c r="P460" s="1933"/>
      <c r="Q460" s="1933"/>
      <c r="R460" s="1933"/>
      <c r="S460" s="1933"/>
      <c r="T460" s="1933"/>
      <c r="U460" s="1933"/>
      <c r="V460" s="1933"/>
      <c r="W460" s="1933"/>
      <c r="X460" s="1933"/>
      <c r="Y460" s="1933"/>
      <c r="Z460" s="1933"/>
    </row>
    <row r="461" spans="1:26" ht="12" x14ac:dyDescent="0.2">
      <c r="A461" s="1933"/>
      <c r="B461" s="1933"/>
      <c r="C461" s="1933"/>
      <c r="D461" s="1933"/>
      <c r="E461" s="1933"/>
      <c r="F461" s="1933"/>
      <c r="G461" s="1934"/>
      <c r="H461" s="1933"/>
      <c r="I461" s="1933"/>
      <c r="J461" s="1933"/>
      <c r="K461" s="1933"/>
      <c r="L461" s="1933"/>
      <c r="M461" s="1933"/>
      <c r="N461" s="1933"/>
      <c r="O461" s="1933"/>
      <c r="P461" s="1933"/>
      <c r="Q461" s="1933"/>
      <c r="R461" s="1933"/>
      <c r="S461" s="1933"/>
      <c r="T461" s="1933"/>
      <c r="U461" s="1933"/>
      <c r="V461" s="1933"/>
      <c r="W461" s="1933"/>
      <c r="X461" s="1933"/>
      <c r="Y461" s="1933"/>
      <c r="Z461" s="1933"/>
    </row>
    <row r="462" spans="1:26" ht="12" x14ac:dyDescent="0.2">
      <c r="A462" s="1933"/>
      <c r="B462" s="1933"/>
      <c r="C462" s="1933"/>
      <c r="D462" s="1933"/>
      <c r="E462" s="1933"/>
      <c r="F462" s="1933"/>
      <c r="G462" s="1934"/>
      <c r="H462" s="1933"/>
      <c r="I462" s="1933"/>
      <c r="J462" s="1933"/>
      <c r="K462" s="1933"/>
      <c r="L462" s="1933"/>
      <c r="M462" s="1933"/>
      <c r="N462" s="1933"/>
      <c r="O462" s="1933"/>
      <c r="P462" s="1933"/>
      <c r="Q462" s="1933"/>
      <c r="R462" s="1933"/>
      <c r="S462" s="1933"/>
      <c r="T462" s="1933"/>
      <c r="U462" s="1933"/>
      <c r="V462" s="1933"/>
      <c r="W462" s="1933"/>
      <c r="X462" s="1933"/>
      <c r="Y462" s="1933"/>
      <c r="Z462" s="1933"/>
    </row>
    <row r="463" spans="1:26" ht="12" x14ac:dyDescent="0.2">
      <c r="A463" s="1933"/>
      <c r="B463" s="1933"/>
      <c r="C463" s="1933"/>
      <c r="D463" s="1933"/>
      <c r="E463" s="1933"/>
      <c r="F463" s="1933"/>
      <c r="G463" s="1934"/>
      <c r="H463" s="1933"/>
      <c r="I463" s="1933"/>
      <c r="J463" s="1933"/>
      <c r="K463" s="1933"/>
      <c r="L463" s="1933"/>
      <c r="M463" s="1933"/>
      <c r="N463" s="1933"/>
      <c r="O463" s="1933"/>
      <c r="P463" s="1933"/>
      <c r="Q463" s="1933"/>
      <c r="R463" s="1933"/>
      <c r="S463" s="1933"/>
      <c r="T463" s="1933"/>
      <c r="U463" s="1933"/>
      <c r="V463" s="1933"/>
      <c r="W463" s="1933"/>
      <c r="X463" s="1933"/>
      <c r="Y463" s="1933"/>
      <c r="Z463" s="1933"/>
    </row>
    <row r="464" spans="1:26" ht="12" x14ac:dyDescent="0.2">
      <c r="A464" s="1933"/>
      <c r="B464" s="1933"/>
      <c r="C464" s="1933"/>
      <c r="D464" s="1933"/>
      <c r="E464" s="1933"/>
      <c r="F464" s="1933"/>
      <c r="G464" s="1934"/>
      <c r="H464" s="1933"/>
      <c r="I464" s="1933"/>
      <c r="J464" s="1933"/>
      <c r="K464" s="1933"/>
      <c r="L464" s="1933"/>
      <c r="M464" s="1933"/>
      <c r="N464" s="1933"/>
      <c r="O464" s="1933"/>
      <c r="P464" s="1933"/>
      <c r="Q464" s="1933"/>
      <c r="R464" s="1933"/>
      <c r="S464" s="1933"/>
      <c r="T464" s="1933"/>
      <c r="U464" s="1933"/>
      <c r="V464" s="1933"/>
      <c r="W464" s="1933"/>
      <c r="X464" s="1933"/>
      <c r="Y464" s="1933"/>
      <c r="Z464" s="1933"/>
    </row>
    <row r="465" spans="1:26" ht="12" x14ac:dyDescent="0.2">
      <c r="A465" s="1933"/>
      <c r="B465" s="1933"/>
      <c r="C465" s="1933"/>
      <c r="D465" s="1933"/>
      <c r="E465" s="1933"/>
      <c r="F465" s="1933"/>
      <c r="G465" s="1934"/>
      <c r="H465" s="1933"/>
      <c r="I465" s="1933"/>
      <c r="J465" s="1933"/>
      <c r="K465" s="1933"/>
      <c r="L465" s="1933"/>
      <c r="M465" s="1933"/>
      <c r="N465" s="1933"/>
      <c r="O465" s="1933"/>
      <c r="P465" s="1933"/>
      <c r="Q465" s="1933"/>
      <c r="R465" s="1933"/>
      <c r="S465" s="1933"/>
      <c r="T465" s="1933"/>
      <c r="U465" s="1933"/>
      <c r="V465" s="1933"/>
      <c r="W465" s="1933"/>
      <c r="X465" s="1933"/>
      <c r="Y465" s="1933"/>
      <c r="Z465" s="1933"/>
    </row>
    <row r="466" spans="1:26" ht="12" x14ac:dyDescent="0.2">
      <c r="A466" s="1933"/>
      <c r="B466" s="1933"/>
      <c r="C466" s="1933"/>
      <c r="D466" s="1933"/>
      <c r="E466" s="1933"/>
      <c r="F466" s="1933"/>
      <c r="G466" s="1934"/>
      <c r="H466" s="1933"/>
      <c r="I466" s="1933"/>
      <c r="J466" s="1933"/>
      <c r="K466" s="1933"/>
      <c r="L466" s="1933"/>
      <c r="M466" s="1933"/>
      <c r="N466" s="1933"/>
      <c r="O466" s="1933"/>
      <c r="P466" s="1933"/>
      <c r="Q466" s="1933"/>
      <c r="R466" s="1933"/>
      <c r="S466" s="1933"/>
      <c r="T466" s="1933"/>
      <c r="U466" s="1933"/>
      <c r="V466" s="1933"/>
      <c r="W466" s="1933"/>
      <c r="X466" s="1933"/>
      <c r="Y466" s="1933"/>
      <c r="Z466" s="1933"/>
    </row>
    <row r="467" spans="1:26" ht="12" x14ac:dyDescent="0.2">
      <c r="A467" s="1933"/>
      <c r="B467" s="1933"/>
      <c r="C467" s="1933"/>
      <c r="D467" s="1933"/>
      <c r="E467" s="1933"/>
      <c r="F467" s="1933"/>
      <c r="G467" s="1934"/>
      <c r="H467" s="1933"/>
      <c r="I467" s="1933"/>
      <c r="J467" s="1933"/>
      <c r="K467" s="1933"/>
      <c r="L467" s="1933"/>
      <c r="M467" s="1933"/>
      <c r="N467" s="1933"/>
      <c r="O467" s="1933"/>
      <c r="P467" s="1933"/>
      <c r="Q467" s="1933"/>
      <c r="R467" s="1933"/>
      <c r="S467" s="1933"/>
      <c r="T467" s="1933"/>
      <c r="U467" s="1933"/>
      <c r="V467" s="1933"/>
      <c r="W467" s="1933"/>
      <c r="X467" s="1933"/>
      <c r="Y467" s="1933"/>
      <c r="Z467" s="1933"/>
    </row>
    <row r="468" spans="1:26" ht="12" x14ac:dyDescent="0.2">
      <c r="A468" s="1933"/>
      <c r="B468" s="1933"/>
      <c r="C468" s="1933"/>
      <c r="D468" s="1933"/>
      <c r="E468" s="1933"/>
      <c r="F468" s="1933"/>
      <c r="G468" s="1934"/>
      <c r="H468" s="1933"/>
      <c r="I468" s="1933"/>
      <c r="J468" s="1933"/>
      <c r="K468" s="1933"/>
      <c r="L468" s="1933"/>
      <c r="M468" s="1933"/>
      <c r="N468" s="1933"/>
      <c r="O468" s="1933"/>
      <c r="P468" s="1933"/>
      <c r="Q468" s="1933"/>
      <c r="R468" s="1933"/>
      <c r="S468" s="1933"/>
      <c r="T468" s="1933"/>
      <c r="U468" s="1933"/>
      <c r="V468" s="1933"/>
      <c r="W468" s="1933"/>
      <c r="X468" s="1933"/>
      <c r="Y468" s="1933"/>
      <c r="Z468" s="1933"/>
    </row>
    <row r="469" spans="1:26" ht="12" x14ac:dyDescent="0.2">
      <c r="A469" s="1933"/>
      <c r="B469" s="1933"/>
      <c r="C469" s="1933"/>
      <c r="D469" s="1933"/>
      <c r="E469" s="1933"/>
      <c r="F469" s="1933"/>
      <c r="G469" s="1934"/>
      <c r="H469" s="1933"/>
      <c r="I469" s="1933"/>
      <c r="J469" s="1933"/>
      <c r="K469" s="1933"/>
      <c r="L469" s="1933"/>
      <c r="M469" s="1933"/>
      <c r="N469" s="1933"/>
      <c r="O469" s="1933"/>
      <c r="P469" s="1933"/>
      <c r="Q469" s="1933"/>
      <c r="R469" s="1933"/>
      <c r="S469" s="1933"/>
      <c r="T469" s="1933"/>
      <c r="U469" s="1933"/>
      <c r="V469" s="1933"/>
      <c r="W469" s="1933"/>
      <c r="X469" s="1933"/>
      <c r="Y469" s="1933"/>
      <c r="Z469" s="1933"/>
    </row>
    <row r="470" spans="1:26" ht="12" x14ac:dyDescent="0.2">
      <c r="A470" s="1933"/>
      <c r="B470" s="1933"/>
      <c r="C470" s="1933"/>
      <c r="D470" s="1933"/>
      <c r="E470" s="1933"/>
      <c r="F470" s="1933"/>
      <c r="G470" s="1934"/>
      <c r="H470" s="1933"/>
      <c r="I470" s="1933"/>
      <c r="J470" s="1933"/>
      <c r="K470" s="1933"/>
      <c r="L470" s="1933"/>
      <c r="M470" s="1933"/>
      <c r="N470" s="1933"/>
      <c r="O470" s="1933"/>
      <c r="P470" s="1933"/>
      <c r="Q470" s="1933"/>
      <c r="R470" s="1933"/>
      <c r="S470" s="1933"/>
      <c r="T470" s="1933"/>
      <c r="U470" s="1933"/>
      <c r="V470" s="1933"/>
      <c r="W470" s="1933"/>
      <c r="X470" s="1933"/>
      <c r="Y470" s="1933"/>
      <c r="Z470" s="1933"/>
    </row>
    <row r="471" spans="1:26" ht="12" x14ac:dyDescent="0.2">
      <c r="A471" s="1933"/>
      <c r="B471" s="1933"/>
      <c r="C471" s="1933"/>
      <c r="D471" s="1933"/>
      <c r="E471" s="1933"/>
      <c r="F471" s="1933"/>
      <c r="G471" s="1934"/>
      <c r="H471" s="1933"/>
      <c r="I471" s="1933"/>
      <c r="J471" s="1933"/>
      <c r="K471" s="1933"/>
      <c r="L471" s="1933"/>
      <c r="M471" s="1933"/>
      <c r="N471" s="1933"/>
      <c r="O471" s="1933"/>
      <c r="P471" s="1933"/>
      <c r="Q471" s="1933"/>
      <c r="R471" s="1933"/>
      <c r="S471" s="1933"/>
      <c r="T471" s="1933"/>
      <c r="U471" s="1933"/>
      <c r="V471" s="1933"/>
      <c r="W471" s="1933"/>
      <c r="X471" s="1933"/>
      <c r="Y471" s="1933"/>
      <c r="Z471" s="1933"/>
    </row>
    <row r="472" spans="1:26" ht="12" x14ac:dyDescent="0.2">
      <c r="A472" s="1933"/>
      <c r="B472" s="1933"/>
      <c r="C472" s="1933"/>
      <c r="D472" s="1933"/>
      <c r="E472" s="1933"/>
      <c r="F472" s="1933"/>
      <c r="G472" s="1934"/>
      <c r="H472" s="1933"/>
      <c r="I472" s="1933"/>
      <c r="J472" s="1933"/>
      <c r="K472" s="1933"/>
      <c r="L472" s="1933"/>
      <c r="M472" s="1933"/>
      <c r="N472" s="1933"/>
      <c r="O472" s="1933"/>
      <c r="P472" s="1933"/>
      <c r="Q472" s="1933"/>
      <c r="R472" s="1933"/>
      <c r="S472" s="1933"/>
      <c r="T472" s="1933"/>
      <c r="U472" s="1933"/>
      <c r="V472" s="1933"/>
      <c r="W472" s="1933"/>
      <c r="X472" s="1933"/>
      <c r="Y472" s="1933"/>
      <c r="Z472" s="1933"/>
    </row>
    <row r="473" spans="1:26" ht="12" x14ac:dyDescent="0.2">
      <c r="A473" s="1933"/>
      <c r="B473" s="1933"/>
      <c r="C473" s="1933"/>
      <c r="D473" s="1933"/>
      <c r="E473" s="1933"/>
      <c r="F473" s="1933"/>
      <c r="G473" s="1934"/>
      <c r="H473" s="1933"/>
      <c r="I473" s="1933"/>
      <c r="J473" s="1933"/>
      <c r="K473" s="1933"/>
      <c r="L473" s="1933"/>
      <c r="M473" s="1933"/>
      <c r="N473" s="1933"/>
      <c r="O473" s="1933"/>
      <c r="P473" s="1933"/>
      <c r="Q473" s="1933"/>
      <c r="R473" s="1933"/>
      <c r="S473" s="1933"/>
      <c r="T473" s="1933"/>
      <c r="U473" s="1933"/>
      <c r="V473" s="1933"/>
      <c r="W473" s="1933"/>
      <c r="X473" s="1933"/>
      <c r="Y473" s="1933"/>
      <c r="Z473" s="1933"/>
    </row>
    <row r="474" spans="1:26" ht="12" x14ac:dyDescent="0.2">
      <c r="A474" s="1933"/>
      <c r="B474" s="1933"/>
      <c r="C474" s="1933"/>
      <c r="D474" s="1933"/>
      <c r="E474" s="1933"/>
      <c r="F474" s="1933"/>
      <c r="G474" s="1934"/>
      <c r="H474" s="1933"/>
      <c r="I474" s="1933"/>
      <c r="J474" s="1933"/>
      <c r="K474" s="1933"/>
      <c r="L474" s="1933"/>
      <c r="M474" s="1933"/>
      <c r="N474" s="1933"/>
      <c r="O474" s="1933"/>
      <c r="P474" s="1933"/>
      <c r="Q474" s="1933"/>
      <c r="R474" s="1933"/>
      <c r="S474" s="1933"/>
      <c r="T474" s="1933"/>
      <c r="U474" s="1933"/>
      <c r="V474" s="1933"/>
      <c r="W474" s="1933"/>
      <c r="X474" s="1933"/>
      <c r="Y474" s="1933"/>
      <c r="Z474" s="1933"/>
    </row>
    <row r="475" spans="1:26" ht="12" x14ac:dyDescent="0.2">
      <c r="A475" s="1933"/>
      <c r="B475" s="1933"/>
      <c r="C475" s="1933"/>
      <c r="D475" s="1933"/>
      <c r="E475" s="1933"/>
      <c r="F475" s="1933"/>
      <c r="G475" s="1934"/>
      <c r="H475" s="1933"/>
      <c r="I475" s="1933"/>
      <c r="J475" s="1933"/>
      <c r="K475" s="1933"/>
      <c r="L475" s="1933"/>
      <c r="M475" s="1933"/>
      <c r="N475" s="1933"/>
      <c r="O475" s="1933"/>
      <c r="P475" s="1933"/>
      <c r="Q475" s="1933"/>
      <c r="R475" s="1933"/>
      <c r="S475" s="1933"/>
      <c r="T475" s="1933"/>
      <c r="U475" s="1933"/>
      <c r="V475" s="1933"/>
      <c r="W475" s="1933"/>
      <c r="X475" s="1933"/>
      <c r="Y475" s="1933"/>
      <c r="Z475" s="1933"/>
    </row>
    <row r="476" spans="1:26" ht="12" x14ac:dyDescent="0.2">
      <c r="A476" s="1933"/>
      <c r="B476" s="1933"/>
      <c r="C476" s="1933"/>
      <c r="D476" s="1933"/>
      <c r="E476" s="1933"/>
      <c r="F476" s="1933"/>
      <c r="G476" s="1934"/>
      <c r="H476" s="1933"/>
      <c r="I476" s="1933"/>
      <c r="J476" s="1933"/>
      <c r="K476" s="1933"/>
      <c r="L476" s="1933"/>
      <c r="M476" s="1933"/>
      <c r="N476" s="1933"/>
      <c r="O476" s="1933"/>
      <c r="P476" s="1933"/>
      <c r="Q476" s="1933"/>
      <c r="R476" s="1933"/>
      <c r="S476" s="1933"/>
      <c r="T476" s="1933"/>
      <c r="U476" s="1933"/>
      <c r="V476" s="1933"/>
      <c r="W476" s="1933"/>
      <c r="X476" s="1933"/>
      <c r="Y476" s="1933"/>
      <c r="Z476" s="1933"/>
    </row>
    <row r="477" spans="1:26" ht="12" x14ac:dyDescent="0.2">
      <c r="A477" s="1933"/>
      <c r="B477" s="1933"/>
      <c r="C477" s="1933"/>
      <c r="D477" s="1933"/>
      <c r="E477" s="1933"/>
      <c r="F477" s="1933"/>
      <c r="G477" s="1934"/>
      <c r="H477" s="1933"/>
      <c r="I477" s="1933"/>
      <c r="J477" s="1933"/>
      <c r="K477" s="1933"/>
      <c r="L477" s="1933"/>
      <c r="M477" s="1933"/>
      <c r="N477" s="1933"/>
      <c r="O477" s="1933"/>
      <c r="P477" s="1933"/>
      <c r="Q477" s="1933"/>
      <c r="R477" s="1933"/>
      <c r="S477" s="1933"/>
      <c r="T477" s="1933"/>
      <c r="U477" s="1933"/>
      <c r="V477" s="1933"/>
      <c r="W477" s="1933"/>
      <c r="X477" s="1933"/>
      <c r="Y477" s="1933"/>
      <c r="Z477" s="1933"/>
    </row>
    <row r="478" spans="1:26" ht="12" x14ac:dyDescent="0.2">
      <c r="A478" s="1933"/>
      <c r="B478" s="1933"/>
      <c r="C478" s="1933"/>
      <c r="D478" s="1933"/>
      <c r="E478" s="1933"/>
      <c r="F478" s="1933"/>
      <c r="G478" s="1934"/>
      <c r="H478" s="1933"/>
      <c r="I478" s="1933"/>
      <c r="J478" s="1933"/>
      <c r="K478" s="1933"/>
      <c r="L478" s="1933"/>
      <c r="M478" s="1933"/>
      <c r="N478" s="1933"/>
      <c r="O478" s="1933"/>
      <c r="P478" s="1933"/>
      <c r="Q478" s="1933"/>
      <c r="R478" s="1933"/>
      <c r="S478" s="1933"/>
      <c r="T478" s="1933"/>
      <c r="U478" s="1933"/>
      <c r="V478" s="1933"/>
      <c r="W478" s="1933"/>
      <c r="X478" s="1933"/>
      <c r="Y478" s="1933"/>
      <c r="Z478" s="1933"/>
    </row>
    <row r="479" spans="1:26" ht="12" x14ac:dyDescent="0.2">
      <c r="A479" s="1933"/>
      <c r="B479" s="1933"/>
      <c r="C479" s="1933"/>
      <c r="D479" s="1933"/>
      <c r="E479" s="1933"/>
      <c r="F479" s="1933"/>
      <c r="G479" s="1934"/>
      <c r="H479" s="1933"/>
      <c r="I479" s="1933"/>
      <c r="J479" s="1933"/>
      <c r="K479" s="1933"/>
      <c r="L479" s="1933"/>
      <c r="M479" s="1933"/>
      <c r="N479" s="1933"/>
      <c r="O479" s="1933"/>
      <c r="P479" s="1933"/>
      <c r="Q479" s="1933"/>
      <c r="R479" s="1933"/>
      <c r="S479" s="1933"/>
      <c r="T479" s="1933"/>
      <c r="U479" s="1933"/>
      <c r="V479" s="1933"/>
      <c r="W479" s="1933"/>
      <c r="X479" s="1933"/>
      <c r="Y479" s="1933"/>
      <c r="Z479" s="1933"/>
    </row>
    <row r="480" spans="1:26" ht="12" x14ac:dyDescent="0.2">
      <c r="A480" s="1933"/>
      <c r="B480" s="1933"/>
      <c r="C480" s="1933"/>
      <c r="D480" s="1933"/>
      <c r="E480" s="1933"/>
      <c r="F480" s="1933"/>
      <c r="G480" s="1934"/>
      <c r="H480" s="1933"/>
      <c r="I480" s="1933"/>
      <c r="J480" s="1933"/>
      <c r="K480" s="1933"/>
      <c r="L480" s="1933"/>
      <c r="M480" s="1933"/>
      <c r="N480" s="1933"/>
      <c r="O480" s="1933"/>
      <c r="P480" s="1933"/>
      <c r="Q480" s="1933"/>
      <c r="R480" s="1933"/>
      <c r="S480" s="1933"/>
      <c r="T480" s="1933"/>
      <c r="U480" s="1933"/>
      <c r="V480" s="1933"/>
      <c r="W480" s="1933"/>
      <c r="X480" s="1933"/>
      <c r="Y480" s="1933"/>
      <c r="Z480" s="1933"/>
    </row>
    <row r="481" spans="1:26" ht="12" x14ac:dyDescent="0.2">
      <c r="A481" s="1933"/>
      <c r="B481" s="1933"/>
      <c r="C481" s="1933"/>
      <c r="D481" s="1933"/>
      <c r="E481" s="1933"/>
      <c r="F481" s="1933"/>
      <c r="G481" s="1934"/>
      <c r="H481" s="1933"/>
      <c r="I481" s="1933"/>
      <c r="J481" s="1933"/>
      <c r="K481" s="1933"/>
      <c r="L481" s="1933"/>
      <c r="M481" s="1933"/>
      <c r="N481" s="1933"/>
      <c r="O481" s="1933"/>
      <c r="P481" s="1933"/>
      <c r="Q481" s="1933"/>
      <c r="R481" s="1933"/>
      <c r="S481" s="1933"/>
      <c r="T481" s="1933"/>
      <c r="U481" s="1933"/>
      <c r="V481" s="1933"/>
      <c r="W481" s="1933"/>
      <c r="X481" s="1933"/>
      <c r="Y481" s="1933"/>
      <c r="Z481" s="1933"/>
    </row>
    <row r="482" spans="1:26" ht="12" x14ac:dyDescent="0.2">
      <c r="A482" s="1933"/>
      <c r="B482" s="1933"/>
      <c r="C482" s="1933"/>
      <c r="D482" s="1933"/>
      <c r="E482" s="1933"/>
      <c r="F482" s="1933"/>
      <c r="G482" s="1934"/>
      <c r="H482" s="1933"/>
      <c r="I482" s="1933"/>
      <c r="J482" s="1933"/>
      <c r="K482" s="1933"/>
      <c r="L482" s="1933"/>
      <c r="M482" s="1933"/>
      <c r="N482" s="1933"/>
      <c r="O482" s="1933"/>
      <c r="P482" s="1933"/>
      <c r="Q482" s="1933"/>
      <c r="R482" s="1933"/>
      <c r="S482" s="1933"/>
      <c r="T482" s="1933"/>
      <c r="U482" s="1933"/>
      <c r="V482" s="1933"/>
      <c r="W482" s="1933"/>
      <c r="X482" s="1933"/>
      <c r="Y482" s="1933"/>
      <c r="Z482" s="1933"/>
    </row>
    <row r="483" spans="1:26" ht="12" x14ac:dyDescent="0.2">
      <c r="A483" s="1933"/>
      <c r="B483" s="1933"/>
      <c r="C483" s="1933"/>
      <c r="D483" s="1933"/>
      <c r="E483" s="1933"/>
      <c r="F483" s="1933"/>
      <c r="G483" s="1934"/>
      <c r="H483" s="1933"/>
      <c r="I483" s="1933"/>
      <c r="J483" s="1933"/>
      <c r="K483" s="1933"/>
      <c r="L483" s="1933"/>
      <c r="M483" s="1933"/>
      <c r="N483" s="1933"/>
      <c r="O483" s="1933"/>
      <c r="P483" s="1933"/>
      <c r="Q483" s="1933"/>
      <c r="R483" s="1933"/>
      <c r="S483" s="1933"/>
      <c r="T483" s="1933"/>
      <c r="U483" s="1933"/>
      <c r="V483" s="1933"/>
      <c r="W483" s="1933"/>
      <c r="X483" s="1933"/>
      <c r="Y483" s="1933"/>
      <c r="Z483" s="1933"/>
    </row>
    <row r="484" spans="1:26" ht="12" x14ac:dyDescent="0.2">
      <c r="A484" s="1933"/>
      <c r="B484" s="1933"/>
      <c r="C484" s="1933"/>
      <c r="D484" s="1933"/>
      <c r="E484" s="1933"/>
      <c r="F484" s="1933"/>
      <c r="G484" s="1934"/>
      <c r="H484" s="1933"/>
      <c r="I484" s="1933"/>
      <c r="J484" s="1933"/>
      <c r="K484" s="1933"/>
      <c r="L484" s="1933"/>
      <c r="M484" s="1933"/>
      <c r="N484" s="1933"/>
      <c r="O484" s="1933"/>
      <c r="P484" s="1933"/>
      <c r="Q484" s="1933"/>
      <c r="R484" s="1933"/>
      <c r="S484" s="1933"/>
      <c r="T484" s="1933"/>
      <c r="U484" s="1933"/>
      <c r="V484" s="1933"/>
      <c r="W484" s="1933"/>
      <c r="X484" s="1933"/>
      <c r="Y484" s="1933"/>
      <c r="Z484" s="1933"/>
    </row>
    <row r="485" spans="1:26" ht="12" x14ac:dyDescent="0.2">
      <c r="A485" s="1933"/>
      <c r="B485" s="1933"/>
      <c r="C485" s="1933"/>
      <c r="D485" s="1933"/>
      <c r="E485" s="1933"/>
      <c r="F485" s="1933"/>
      <c r="G485" s="1934"/>
      <c r="H485" s="1933"/>
      <c r="I485" s="1933"/>
      <c r="J485" s="1933"/>
      <c r="K485" s="1933"/>
      <c r="L485" s="1933"/>
      <c r="M485" s="1933"/>
      <c r="N485" s="1933"/>
      <c r="O485" s="1933"/>
      <c r="P485" s="1933"/>
      <c r="Q485" s="1933"/>
      <c r="R485" s="1933"/>
      <c r="S485" s="1933"/>
      <c r="T485" s="1933"/>
      <c r="U485" s="1933"/>
      <c r="V485" s="1933"/>
      <c r="W485" s="1933"/>
      <c r="X485" s="1933"/>
      <c r="Y485" s="1933"/>
      <c r="Z485" s="1933"/>
    </row>
    <row r="486" spans="1:26" ht="12" x14ac:dyDescent="0.2">
      <c r="A486" s="1933"/>
      <c r="B486" s="1933"/>
      <c r="C486" s="1933"/>
      <c r="D486" s="1933"/>
      <c r="E486" s="1933"/>
      <c r="F486" s="1933"/>
      <c r="G486" s="1934"/>
      <c r="H486" s="1933"/>
      <c r="I486" s="1933"/>
      <c r="J486" s="1933"/>
      <c r="K486" s="1933"/>
      <c r="L486" s="1933"/>
      <c r="M486" s="1933"/>
      <c r="N486" s="1933"/>
      <c r="O486" s="1933"/>
      <c r="P486" s="1933"/>
      <c r="Q486" s="1933"/>
      <c r="R486" s="1933"/>
      <c r="S486" s="1933"/>
      <c r="T486" s="1933"/>
      <c r="U486" s="1933"/>
      <c r="V486" s="1933"/>
      <c r="W486" s="1933"/>
      <c r="X486" s="1933"/>
      <c r="Y486" s="1933"/>
      <c r="Z486" s="1933"/>
    </row>
    <row r="487" spans="1:26" ht="12" x14ac:dyDescent="0.2">
      <c r="A487" s="1933"/>
      <c r="B487" s="1933"/>
      <c r="C487" s="1933"/>
      <c r="D487" s="1933"/>
      <c r="E487" s="1933"/>
      <c r="F487" s="1933"/>
      <c r="G487" s="1934"/>
      <c r="H487" s="1933"/>
      <c r="I487" s="1933"/>
      <c r="J487" s="1933"/>
      <c r="K487" s="1933"/>
      <c r="L487" s="1933"/>
      <c r="M487" s="1933"/>
      <c r="N487" s="1933"/>
      <c r="O487" s="1933"/>
      <c r="P487" s="1933"/>
      <c r="Q487" s="1933"/>
      <c r="R487" s="1933"/>
      <c r="S487" s="1933"/>
      <c r="T487" s="1933"/>
      <c r="U487" s="1933"/>
      <c r="V487" s="1933"/>
      <c r="W487" s="1933"/>
      <c r="X487" s="1933"/>
      <c r="Y487" s="1933"/>
      <c r="Z487" s="1933"/>
    </row>
    <row r="488" spans="1:26" ht="12" x14ac:dyDescent="0.2">
      <c r="A488" s="1933"/>
      <c r="B488" s="1933"/>
      <c r="C488" s="1933"/>
      <c r="D488" s="1933"/>
      <c r="E488" s="1933"/>
      <c r="F488" s="1933"/>
      <c r="G488" s="1934"/>
      <c r="H488" s="1933"/>
      <c r="I488" s="1933"/>
      <c r="J488" s="1933"/>
      <c r="K488" s="1933"/>
      <c r="L488" s="1933"/>
      <c r="M488" s="1933"/>
      <c r="N488" s="1933"/>
      <c r="O488" s="1933"/>
      <c r="P488" s="1933"/>
      <c r="Q488" s="1933"/>
      <c r="R488" s="1933"/>
      <c r="S488" s="1933"/>
      <c r="T488" s="1933"/>
      <c r="U488" s="1933"/>
      <c r="V488" s="1933"/>
      <c r="W488" s="1933"/>
      <c r="X488" s="1933"/>
      <c r="Y488" s="1933"/>
      <c r="Z488" s="1933"/>
    </row>
    <row r="489" spans="1:26" ht="12" x14ac:dyDescent="0.2">
      <c r="A489" s="1933"/>
      <c r="B489" s="1933"/>
      <c r="C489" s="1933"/>
      <c r="D489" s="1933"/>
      <c r="E489" s="1933"/>
      <c r="F489" s="1933"/>
      <c r="G489" s="1934"/>
      <c r="H489" s="1933"/>
      <c r="I489" s="1933"/>
      <c r="J489" s="1933"/>
      <c r="K489" s="1933"/>
      <c r="L489" s="1933"/>
      <c r="M489" s="1933"/>
      <c r="N489" s="1933"/>
      <c r="O489" s="1933"/>
      <c r="P489" s="1933"/>
      <c r="Q489" s="1933"/>
      <c r="R489" s="1933"/>
      <c r="S489" s="1933"/>
      <c r="T489" s="1933"/>
      <c r="U489" s="1933"/>
      <c r="V489" s="1933"/>
      <c r="W489" s="1933"/>
      <c r="X489" s="1933"/>
      <c r="Y489" s="1933"/>
      <c r="Z489" s="1933"/>
    </row>
    <row r="490" spans="1:26" ht="12" x14ac:dyDescent="0.2">
      <c r="A490" s="1933"/>
      <c r="B490" s="1933"/>
      <c r="C490" s="1933"/>
      <c r="D490" s="1933"/>
      <c r="E490" s="1933"/>
      <c r="F490" s="1933"/>
      <c r="G490" s="1934"/>
      <c r="H490" s="1933"/>
      <c r="I490" s="1933"/>
      <c r="J490" s="1933"/>
      <c r="K490" s="1933"/>
      <c r="L490" s="1933"/>
      <c r="M490" s="1933"/>
      <c r="N490" s="1933"/>
      <c r="O490" s="1933"/>
      <c r="P490" s="1933"/>
      <c r="Q490" s="1933"/>
      <c r="R490" s="1933"/>
      <c r="S490" s="1933"/>
      <c r="T490" s="1933"/>
      <c r="U490" s="1933"/>
      <c r="V490" s="1933"/>
      <c r="W490" s="1933"/>
      <c r="X490" s="1933"/>
      <c r="Y490" s="1933"/>
      <c r="Z490" s="1933"/>
    </row>
    <row r="491" spans="1:26" ht="12" x14ac:dyDescent="0.2">
      <c r="A491" s="1933"/>
      <c r="B491" s="1933"/>
      <c r="C491" s="1933"/>
      <c r="D491" s="1933"/>
      <c r="E491" s="1933"/>
      <c r="F491" s="1933"/>
      <c r="G491" s="1934"/>
      <c r="H491" s="1933"/>
      <c r="I491" s="1933"/>
      <c r="J491" s="1933"/>
      <c r="K491" s="1933"/>
      <c r="L491" s="1933"/>
      <c r="M491" s="1933"/>
      <c r="N491" s="1933"/>
      <c r="O491" s="1933"/>
      <c r="P491" s="1933"/>
      <c r="Q491" s="1933"/>
      <c r="R491" s="1933"/>
      <c r="S491" s="1933"/>
      <c r="T491" s="1933"/>
      <c r="U491" s="1933"/>
      <c r="V491" s="1933"/>
      <c r="W491" s="1933"/>
      <c r="X491" s="1933"/>
      <c r="Y491" s="1933"/>
      <c r="Z491" s="1933"/>
    </row>
    <row r="492" spans="1:26" ht="12" x14ac:dyDescent="0.2">
      <c r="A492" s="1933"/>
      <c r="B492" s="1933"/>
      <c r="C492" s="1933"/>
      <c r="D492" s="1933"/>
      <c r="E492" s="1933"/>
      <c r="F492" s="1933"/>
      <c r="G492" s="1934"/>
      <c r="H492" s="1933"/>
      <c r="I492" s="1933"/>
      <c r="J492" s="1933"/>
      <c r="K492" s="1933"/>
      <c r="L492" s="1933"/>
      <c r="M492" s="1933"/>
      <c r="N492" s="1933"/>
      <c r="O492" s="1933"/>
      <c r="P492" s="1933"/>
      <c r="Q492" s="1933"/>
      <c r="R492" s="1933"/>
      <c r="S492" s="1933"/>
      <c r="T492" s="1933"/>
      <c r="U492" s="1933"/>
      <c r="V492" s="1933"/>
      <c r="W492" s="1933"/>
      <c r="X492" s="1933"/>
      <c r="Y492" s="1933"/>
      <c r="Z492" s="1933"/>
    </row>
    <row r="493" spans="1:26" ht="12" x14ac:dyDescent="0.2">
      <c r="A493" s="1933"/>
      <c r="B493" s="1933"/>
      <c r="C493" s="1933"/>
      <c r="D493" s="1933"/>
      <c r="E493" s="1933"/>
      <c r="F493" s="1933"/>
      <c r="G493" s="1934"/>
      <c r="H493" s="1933"/>
      <c r="I493" s="1933"/>
      <c r="J493" s="1933"/>
      <c r="K493" s="1933"/>
      <c r="L493" s="1933"/>
      <c r="M493" s="1933"/>
      <c r="N493" s="1933"/>
      <c r="O493" s="1933"/>
      <c r="P493" s="1933"/>
      <c r="Q493" s="1933"/>
      <c r="R493" s="1933"/>
      <c r="S493" s="1933"/>
      <c r="T493" s="1933"/>
      <c r="U493" s="1933"/>
      <c r="V493" s="1933"/>
      <c r="W493" s="1933"/>
      <c r="X493" s="1933"/>
      <c r="Y493" s="1933"/>
      <c r="Z493" s="1933"/>
    </row>
    <row r="494" spans="1:26" ht="12" x14ac:dyDescent="0.2">
      <c r="A494" s="1933"/>
      <c r="B494" s="1933"/>
      <c r="C494" s="1933"/>
      <c r="D494" s="1933"/>
      <c r="E494" s="1933"/>
      <c r="F494" s="1933"/>
      <c r="G494" s="1934"/>
      <c r="H494" s="1933"/>
      <c r="I494" s="1933"/>
      <c r="J494" s="1933"/>
      <c r="K494" s="1933"/>
      <c r="L494" s="1933"/>
      <c r="M494" s="1933"/>
      <c r="N494" s="1933"/>
      <c r="O494" s="1933"/>
      <c r="P494" s="1933"/>
      <c r="Q494" s="1933"/>
      <c r="R494" s="1933"/>
      <c r="S494" s="1933"/>
      <c r="T494" s="1933"/>
      <c r="U494" s="1933"/>
      <c r="V494" s="1933"/>
      <c r="W494" s="1933"/>
      <c r="X494" s="1933"/>
      <c r="Y494" s="1933"/>
      <c r="Z494" s="1933"/>
    </row>
    <row r="495" spans="1:26" ht="12" x14ac:dyDescent="0.2">
      <c r="A495" s="1933"/>
      <c r="B495" s="1933"/>
      <c r="C495" s="1933"/>
      <c r="D495" s="1933"/>
      <c r="E495" s="1933"/>
      <c r="F495" s="1933"/>
      <c r="G495" s="1934"/>
      <c r="H495" s="1933"/>
      <c r="I495" s="1933"/>
      <c r="J495" s="1933"/>
      <c r="K495" s="1933"/>
      <c r="L495" s="1933"/>
      <c r="M495" s="1933"/>
      <c r="N495" s="1933"/>
      <c r="O495" s="1933"/>
      <c r="P495" s="1933"/>
      <c r="Q495" s="1933"/>
      <c r="R495" s="1933"/>
      <c r="S495" s="1933"/>
      <c r="T495" s="1933"/>
      <c r="U495" s="1933"/>
      <c r="V495" s="1933"/>
      <c r="W495" s="1933"/>
      <c r="X495" s="1933"/>
      <c r="Y495" s="1933"/>
      <c r="Z495" s="1933"/>
    </row>
    <row r="496" spans="1:26" ht="12" x14ac:dyDescent="0.2">
      <c r="A496" s="1933"/>
      <c r="B496" s="1933"/>
      <c r="C496" s="1933"/>
      <c r="D496" s="1933"/>
      <c r="E496" s="1933"/>
      <c r="F496" s="1933"/>
      <c r="G496" s="1934"/>
      <c r="H496" s="1933"/>
      <c r="I496" s="1933"/>
      <c r="J496" s="1933"/>
      <c r="K496" s="1933"/>
      <c r="L496" s="1933"/>
      <c r="M496" s="1933"/>
      <c r="N496" s="1933"/>
      <c r="O496" s="1933"/>
      <c r="P496" s="1933"/>
      <c r="Q496" s="1933"/>
      <c r="R496" s="1933"/>
      <c r="S496" s="1933"/>
      <c r="T496" s="1933"/>
      <c r="U496" s="1933"/>
      <c r="V496" s="1933"/>
      <c r="W496" s="1933"/>
      <c r="X496" s="1933"/>
      <c r="Y496" s="1933"/>
      <c r="Z496" s="1933"/>
    </row>
    <row r="497" spans="1:26" ht="12" x14ac:dyDescent="0.2">
      <c r="A497" s="1933"/>
      <c r="B497" s="1933"/>
      <c r="C497" s="1933"/>
      <c r="D497" s="1933"/>
      <c r="E497" s="1933"/>
      <c r="F497" s="1933"/>
      <c r="G497" s="1934"/>
      <c r="H497" s="1933"/>
      <c r="I497" s="1933"/>
      <c r="J497" s="1933"/>
      <c r="K497" s="1933"/>
      <c r="L497" s="1933"/>
      <c r="M497" s="1933"/>
      <c r="N497" s="1933"/>
      <c r="O497" s="1933"/>
      <c r="P497" s="1933"/>
      <c r="Q497" s="1933"/>
      <c r="R497" s="1933"/>
      <c r="S497" s="1933"/>
      <c r="T497" s="1933"/>
      <c r="U497" s="1933"/>
      <c r="V497" s="1933"/>
      <c r="W497" s="1933"/>
      <c r="X497" s="1933"/>
      <c r="Y497" s="1933"/>
      <c r="Z497" s="1933"/>
    </row>
    <row r="498" spans="1:26" ht="12" x14ac:dyDescent="0.2">
      <c r="A498" s="1933"/>
      <c r="B498" s="1933"/>
      <c r="C498" s="1933"/>
      <c r="D498" s="1933"/>
      <c r="E498" s="1933"/>
      <c r="F498" s="1933"/>
      <c r="G498" s="1934"/>
      <c r="H498" s="1933"/>
      <c r="I498" s="1933"/>
      <c r="J498" s="1933"/>
      <c r="K498" s="1933"/>
      <c r="L498" s="1933"/>
      <c r="M498" s="1933"/>
      <c r="N498" s="1933"/>
      <c r="O498" s="1933"/>
      <c r="P498" s="1933"/>
      <c r="Q498" s="1933"/>
      <c r="R498" s="1933"/>
      <c r="S498" s="1933"/>
      <c r="T498" s="1933"/>
      <c r="U498" s="1933"/>
      <c r="V498" s="1933"/>
      <c r="W498" s="1933"/>
      <c r="X498" s="1933"/>
      <c r="Y498" s="1933"/>
      <c r="Z498" s="1933"/>
    </row>
    <row r="499" spans="1:26" ht="12" x14ac:dyDescent="0.2">
      <c r="A499" s="1933"/>
      <c r="B499" s="1933"/>
      <c r="C499" s="1933"/>
      <c r="D499" s="1933"/>
      <c r="E499" s="1933"/>
      <c r="F499" s="1933"/>
      <c r="G499" s="1934"/>
      <c r="H499" s="1933"/>
      <c r="I499" s="1933"/>
      <c r="J499" s="1933"/>
      <c r="K499" s="1933"/>
      <c r="L499" s="1933"/>
      <c r="M499" s="1933"/>
      <c r="N499" s="1933"/>
      <c r="O499" s="1933"/>
      <c r="P499" s="1933"/>
      <c r="Q499" s="1933"/>
      <c r="R499" s="1933"/>
      <c r="S499" s="1933"/>
      <c r="T499" s="1933"/>
      <c r="U499" s="1933"/>
      <c r="V499" s="1933"/>
      <c r="W499" s="1933"/>
      <c r="X499" s="1933"/>
      <c r="Y499" s="1933"/>
      <c r="Z499" s="1933"/>
    </row>
    <row r="500" spans="1:26" ht="12" x14ac:dyDescent="0.2">
      <c r="A500" s="1933"/>
      <c r="B500" s="1933"/>
      <c r="C500" s="1933"/>
      <c r="D500" s="1933"/>
      <c r="E500" s="1933"/>
      <c r="F500" s="1933"/>
      <c r="G500" s="1934"/>
      <c r="H500" s="1933"/>
      <c r="I500" s="1933"/>
      <c r="J500" s="1933"/>
      <c r="K500" s="1933"/>
      <c r="L500" s="1933"/>
      <c r="M500" s="1933"/>
      <c r="N500" s="1933"/>
      <c r="O500" s="1933"/>
      <c r="P500" s="1933"/>
      <c r="Q500" s="1933"/>
      <c r="R500" s="1933"/>
      <c r="S500" s="1933"/>
      <c r="T500" s="1933"/>
      <c r="U500" s="1933"/>
      <c r="V500" s="1933"/>
      <c r="W500" s="1933"/>
      <c r="X500" s="1933"/>
      <c r="Y500" s="1933"/>
      <c r="Z500" s="1933"/>
    </row>
    <row r="501" spans="1:26" ht="12" x14ac:dyDescent="0.2">
      <c r="A501" s="1933"/>
      <c r="B501" s="1933"/>
      <c r="C501" s="1933"/>
      <c r="D501" s="1933"/>
      <c r="E501" s="1933"/>
      <c r="F501" s="1933"/>
      <c r="G501" s="1934"/>
      <c r="H501" s="1933"/>
      <c r="I501" s="1933"/>
      <c r="J501" s="1933"/>
      <c r="K501" s="1933"/>
      <c r="L501" s="1933"/>
      <c r="M501" s="1933"/>
      <c r="N501" s="1933"/>
      <c r="O501" s="1933"/>
      <c r="P501" s="1933"/>
      <c r="Q501" s="1933"/>
      <c r="R501" s="1933"/>
      <c r="S501" s="1933"/>
      <c r="T501" s="1933"/>
      <c r="U501" s="1933"/>
      <c r="V501" s="1933"/>
      <c r="W501" s="1933"/>
      <c r="X501" s="1933"/>
      <c r="Y501" s="1933"/>
      <c r="Z501" s="1933"/>
    </row>
    <row r="502" spans="1:26" ht="12" x14ac:dyDescent="0.2">
      <c r="A502" s="1933"/>
      <c r="B502" s="1933"/>
      <c r="C502" s="1933"/>
      <c r="D502" s="1933"/>
      <c r="E502" s="1933"/>
      <c r="F502" s="1933"/>
      <c r="G502" s="1934"/>
      <c r="H502" s="1933"/>
      <c r="I502" s="1933"/>
      <c r="J502" s="1933"/>
      <c r="K502" s="1933"/>
      <c r="L502" s="1933"/>
      <c r="M502" s="1933"/>
      <c r="N502" s="1933"/>
      <c r="O502" s="1933"/>
      <c r="P502" s="1933"/>
      <c r="Q502" s="1933"/>
      <c r="R502" s="1933"/>
      <c r="S502" s="1933"/>
      <c r="T502" s="1933"/>
      <c r="U502" s="1933"/>
      <c r="V502" s="1933"/>
      <c r="W502" s="1933"/>
      <c r="X502" s="1933"/>
      <c r="Y502" s="1933"/>
      <c r="Z502" s="1933"/>
    </row>
    <row r="503" spans="1:26" ht="12" x14ac:dyDescent="0.2">
      <c r="A503" s="1933"/>
      <c r="B503" s="1933"/>
      <c r="C503" s="1933"/>
      <c r="D503" s="1933"/>
      <c r="E503" s="1933"/>
      <c r="F503" s="1933"/>
      <c r="G503" s="1934"/>
      <c r="H503" s="1933"/>
      <c r="I503" s="1933"/>
      <c r="J503" s="1933"/>
      <c r="K503" s="1933"/>
      <c r="L503" s="1933"/>
      <c r="M503" s="1933"/>
      <c r="N503" s="1933"/>
      <c r="O503" s="1933"/>
      <c r="P503" s="1933"/>
      <c r="Q503" s="1933"/>
      <c r="R503" s="1933"/>
      <c r="S503" s="1933"/>
      <c r="T503" s="1933"/>
      <c r="U503" s="1933"/>
      <c r="V503" s="1933"/>
      <c r="W503" s="1933"/>
      <c r="X503" s="1933"/>
      <c r="Y503" s="1933"/>
      <c r="Z503" s="1933"/>
    </row>
    <row r="504" spans="1:26" ht="12" x14ac:dyDescent="0.2">
      <c r="A504" s="1933"/>
      <c r="B504" s="1933"/>
      <c r="C504" s="1933"/>
      <c r="D504" s="1933"/>
      <c r="E504" s="1933"/>
      <c r="F504" s="1933"/>
      <c r="G504" s="1934"/>
      <c r="H504" s="1933"/>
      <c r="I504" s="1933"/>
      <c r="J504" s="1933"/>
      <c r="K504" s="1933"/>
      <c r="L504" s="1933"/>
      <c r="M504" s="1933"/>
      <c r="N504" s="1933"/>
      <c r="O504" s="1933"/>
      <c r="P504" s="1933"/>
      <c r="Q504" s="1933"/>
      <c r="R504" s="1933"/>
      <c r="S504" s="1933"/>
      <c r="T504" s="1933"/>
      <c r="U504" s="1933"/>
      <c r="V504" s="1933"/>
      <c r="W504" s="1933"/>
      <c r="X504" s="1933"/>
      <c r="Y504" s="1933"/>
      <c r="Z504" s="1933"/>
    </row>
    <row r="505" spans="1:26" ht="12" x14ac:dyDescent="0.2">
      <c r="A505" s="1933"/>
      <c r="B505" s="1933"/>
      <c r="C505" s="1933"/>
      <c r="D505" s="1933"/>
      <c r="E505" s="1933"/>
      <c r="F505" s="1933"/>
      <c r="G505" s="1934"/>
      <c r="H505" s="1933"/>
      <c r="I505" s="1933"/>
      <c r="J505" s="1933"/>
      <c r="K505" s="1933"/>
      <c r="L505" s="1933"/>
      <c r="M505" s="1933"/>
      <c r="N505" s="1933"/>
      <c r="O505" s="1933"/>
      <c r="P505" s="1933"/>
      <c r="Q505" s="1933"/>
      <c r="R505" s="1933"/>
      <c r="S505" s="1933"/>
      <c r="T505" s="1933"/>
      <c r="U505" s="1933"/>
      <c r="V505" s="1933"/>
      <c r="W505" s="1933"/>
      <c r="X505" s="1933"/>
      <c r="Y505" s="1933"/>
      <c r="Z505" s="1933"/>
    </row>
    <row r="506" spans="1:26" ht="12" x14ac:dyDescent="0.2">
      <c r="A506" s="1933"/>
      <c r="B506" s="1933"/>
      <c r="C506" s="1933"/>
      <c r="D506" s="1933"/>
      <c r="E506" s="1933"/>
      <c r="F506" s="1933"/>
      <c r="G506" s="1934"/>
      <c r="H506" s="1933"/>
      <c r="I506" s="1933"/>
      <c r="J506" s="1933"/>
      <c r="K506" s="1933"/>
      <c r="L506" s="1933"/>
      <c r="M506" s="1933"/>
      <c r="N506" s="1933"/>
      <c r="O506" s="1933"/>
      <c r="P506" s="1933"/>
      <c r="Q506" s="1933"/>
      <c r="R506" s="1933"/>
      <c r="S506" s="1933"/>
      <c r="T506" s="1933"/>
      <c r="U506" s="1933"/>
      <c r="V506" s="1933"/>
      <c r="W506" s="1933"/>
      <c r="X506" s="1933"/>
      <c r="Y506" s="1933"/>
      <c r="Z506" s="1933"/>
    </row>
    <row r="507" spans="1:26" ht="12" x14ac:dyDescent="0.2">
      <c r="A507" s="1933"/>
      <c r="B507" s="1933"/>
      <c r="C507" s="1933"/>
      <c r="D507" s="1933"/>
      <c r="E507" s="1933"/>
      <c r="F507" s="1933"/>
      <c r="G507" s="1934"/>
      <c r="H507" s="1933"/>
      <c r="I507" s="1933"/>
      <c r="J507" s="1933"/>
      <c r="K507" s="1933"/>
      <c r="L507" s="1933"/>
      <c r="M507" s="1933"/>
      <c r="N507" s="1933"/>
      <c r="O507" s="1933"/>
      <c r="P507" s="1933"/>
      <c r="Q507" s="1933"/>
      <c r="R507" s="1933"/>
      <c r="S507" s="1933"/>
      <c r="T507" s="1933"/>
      <c r="U507" s="1933"/>
      <c r="V507" s="1933"/>
      <c r="W507" s="1933"/>
      <c r="X507" s="1933"/>
      <c r="Y507" s="1933"/>
      <c r="Z507" s="1933"/>
    </row>
    <row r="508" spans="1:26" ht="12" x14ac:dyDescent="0.2">
      <c r="A508" s="1933"/>
      <c r="B508" s="1933"/>
      <c r="C508" s="1933"/>
      <c r="D508" s="1933"/>
      <c r="E508" s="1933"/>
      <c r="F508" s="1933"/>
      <c r="G508" s="1934"/>
      <c r="H508" s="1933"/>
      <c r="I508" s="1933"/>
      <c r="J508" s="1933"/>
      <c r="K508" s="1933"/>
      <c r="L508" s="1933"/>
      <c r="M508" s="1933"/>
      <c r="N508" s="1933"/>
      <c r="O508" s="1933"/>
      <c r="P508" s="1933"/>
      <c r="Q508" s="1933"/>
      <c r="R508" s="1933"/>
      <c r="S508" s="1933"/>
      <c r="T508" s="1933"/>
      <c r="U508" s="1933"/>
      <c r="V508" s="1933"/>
      <c r="W508" s="1933"/>
      <c r="X508" s="1933"/>
      <c r="Y508" s="1933"/>
      <c r="Z508" s="1933"/>
    </row>
    <row r="509" spans="1:26" ht="12" x14ac:dyDescent="0.2">
      <c r="A509" s="1933"/>
      <c r="B509" s="1933"/>
      <c r="C509" s="1933"/>
      <c r="D509" s="1933"/>
      <c r="E509" s="1933"/>
      <c r="F509" s="1933"/>
      <c r="G509" s="1934"/>
      <c r="H509" s="1933"/>
      <c r="I509" s="1933"/>
      <c r="J509" s="1933"/>
      <c r="K509" s="1933"/>
      <c r="L509" s="1933"/>
      <c r="M509" s="1933"/>
      <c r="N509" s="1933"/>
      <c r="O509" s="1933"/>
      <c r="P509" s="1933"/>
      <c r="Q509" s="1933"/>
      <c r="R509" s="1933"/>
      <c r="S509" s="1933"/>
      <c r="T509" s="1933"/>
      <c r="U509" s="1933"/>
      <c r="V509" s="1933"/>
      <c r="W509" s="1933"/>
      <c r="X509" s="1933"/>
      <c r="Y509" s="1933"/>
      <c r="Z509" s="1933"/>
    </row>
    <row r="510" spans="1:26" ht="12" x14ac:dyDescent="0.2">
      <c r="A510" s="1933"/>
      <c r="B510" s="1933"/>
      <c r="C510" s="1933"/>
      <c r="D510" s="1933"/>
      <c r="E510" s="1933"/>
      <c r="F510" s="1933"/>
      <c r="G510" s="1934"/>
      <c r="H510" s="1933"/>
      <c r="I510" s="1933"/>
      <c r="J510" s="1933"/>
      <c r="K510" s="1933"/>
      <c r="L510" s="1933"/>
      <c r="M510" s="1933"/>
      <c r="N510" s="1933"/>
      <c r="O510" s="1933"/>
      <c r="P510" s="1933"/>
      <c r="Q510" s="1933"/>
      <c r="R510" s="1933"/>
      <c r="S510" s="1933"/>
      <c r="T510" s="1933"/>
      <c r="U510" s="1933"/>
      <c r="V510" s="1933"/>
      <c r="W510" s="1933"/>
      <c r="X510" s="1933"/>
      <c r="Y510" s="1933"/>
      <c r="Z510" s="1933"/>
    </row>
    <row r="511" spans="1:26" ht="12" x14ac:dyDescent="0.2">
      <c r="A511" s="1933"/>
      <c r="B511" s="1933"/>
      <c r="C511" s="1933"/>
      <c r="D511" s="1933"/>
      <c r="E511" s="1933"/>
      <c r="F511" s="1933"/>
      <c r="G511" s="1934"/>
      <c r="H511" s="1933"/>
      <c r="I511" s="1933"/>
      <c r="J511" s="1933"/>
      <c r="K511" s="1933"/>
      <c r="L511" s="1933"/>
      <c r="M511" s="1933"/>
      <c r="N511" s="1933"/>
      <c r="O511" s="1933"/>
      <c r="P511" s="1933"/>
      <c r="Q511" s="1933"/>
      <c r="R511" s="1933"/>
      <c r="S511" s="1933"/>
      <c r="T511" s="1933"/>
      <c r="U511" s="1933"/>
      <c r="V511" s="1933"/>
      <c r="W511" s="1933"/>
      <c r="X511" s="1933"/>
      <c r="Y511" s="1933"/>
      <c r="Z511" s="1933"/>
    </row>
    <row r="512" spans="1:26" ht="12" x14ac:dyDescent="0.2">
      <c r="A512" s="1933"/>
      <c r="B512" s="1933"/>
      <c r="C512" s="1933"/>
      <c r="D512" s="1933"/>
      <c r="E512" s="1933"/>
      <c r="F512" s="1933"/>
      <c r="G512" s="1934"/>
      <c r="H512" s="1933"/>
      <c r="I512" s="1933"/>
      <c r="J512" s="1933"/>
      <c r="K512" s="1933"/>
      <c r="L512" s="1933"/>
      <c r="M512" s="1933"/>
      <c r="N512" s="1933"/>
      <c r="O512" s="1933"/>
      <c r="P512" s="1933"/>
      <c r="Q512" s="1933"/>
      <c r="R512" s="1933"/>
      <c r="S512" s="1933"/>
      <c r="T512" s="1933"/>
      <c r="U512" s="1933"/>
      <c r="V512" s="1933"/>
      <c r="W512" s="1933"/>
      <c r="X512" s="1933"/>
      <c r="Y512" s="1933"/>
      <c r="Z512" s="1933"/>
    </row>
    <row r="513" spans="1:26" ht="12" x14ac:dyDescent="0.2">
      <c r="A513" s="1933"/>
      <c r="B513" s="1933"/>
      <c r="C513" s="1933"/>
      <c r="D513" s="1933"/>
      <c r="E513" s="1933"/>
      <c r="F513" s="1933"/>
      <c r="G513" s="1934"/>
      <c r="H513" s="1933"/>
      <c r="I513" s="1933"/>
      <c r="J513" s="1933"/>
      <c r="K513" s="1933"/>
      <c r="L513" s="1933"/>
      <c r="M513" s="1933"/>
      <c r="N513" s="1933"/>
      <c r="O513" s="1933"/>
      <c r="P513" s="1933"/>
      <c r="Q513" s="1933"/>
      <c r="R513" s="1933"/>
      <c r="S513" s="1933"/>
      <c r="T513" s="1933"/>
      <c r="U513" s="1933"/>
      <c r="V513" s="1933"/>
      <c r="W513" s="1933"/>
      <c r="X513" s="1933"/>
      <c r="Y513" s="1933"/>
      <c r="Z513" s="1933"/>
    </row>
    <row r="514" spans="1:26" ht="12" x14ac:dyDescent="0.2">
      <c r="A514" s="1933"/>
      <c r="B514" s="1933"/>
      <c r="C514" s="1933"/>
      <c r="D514" s="1933"/>
      <c r="E514" s="1933"/>
      <c r="F514" s="1933"/>
      <c r="G514" s="1934"/>
      <c r="H514" s="1933"/>
      <c r="I514" s="1933"/>
      <c r="J514" s="1933"/>
      <c r="K514" s="1933"/>
      <c r="L514" s="1933"/>
      <c r="M514" s="1933"/>
      <c r="N514" s="1933"/>
      <c r="O514" s="1933"/>
      <c r="P514" s="1933"/>
      <c r="Q514" s="1933"/>
      <c r="R514" s="1933"/>
      <c r="S514" s="1933"/>
      <c r="T514" s="1933"/>
      <c r="U514" s="1933"/>
      <c r="V514" s="1933"/>
      <c r="W514" s="1933"/>
      <c r="X514" s="1933"/>
      <c r="Y514" s="1933"/>
      <c r="Z514" s="1933"/>
    </row>
    <row r="515" spans="1:26" ht="12" x14ac:dyDescent="0.2">
      <c r="A515" s="1933"/>
      <c r="B515" s="1933"/>
      <c r="C515" s="1933"/>
      <c r="D515" s="1933"/>
      <c r="E515" s="1933"/>
      <c r="F515" s="1933"/>
      <c r="G515" s="1934"/>
      <c r="H515" s="1933"/>
      <c r="I515" s="1933"/>
      <c r="J515" s="1933"/>
      <c r="K515" s="1933"/>
      <c r="L515" s="1933"/>
      <c r="M515" s="1933"/>
      <c r="N515" s="1933"/>
      <c r="O515" s="1933"/>
      <c r="P515" s="1933"/>
      <c r="Q515" s="1933"/>
      <c r="R515" s="1933"/>
      <c r="S515" s="1933"/>
      <c r="T515" s="1933"/>
      <c r="U515" s="1933"/>
      <c r="V515" s="1933"/>
      <c r="W515" s="1933"/>
      <c r="X515" s="1933"/>
      <c r="Y515" s="1933"/>
      <c r="Z515" s="1933"/>
    </row>
    <row r="516" spans="1:26" ht="12" x14ac:dyDescent="0.2">
      <c r="A516" s="1933"/>
      <c r="B516" s="1933"/>
      <c r="C516" s="1933"/>
      <c r="D516" s="1933"/>
      <c r="E516" s="1933"/>
      <c r="F516" s="1933"/>
      <c r="G516" s="1934"/>
      <c r="H516" s="1933"/>
      <c r="I516" s="1933"/>
      <c r="J516" s="1933"/>
      <c r="K516" s="1933"/>
      <c r="L516" s="1933"/>
      <c r="M516" s="1933"/>
      <c r="N516" s="1933"/>
      <c r="O516" s="1933"/>
      <c r="P516" s="1933"/>
      <c r="Q516" s="1933"/>
      <c r="R516" s="1933"/>
      <c r="S516" s="1933"/>
      <c r="T516" s="1933"/>
      <c r="U516" s="1933"/>
      <c r="V516" s="1933"/>
      <c r="W516" s="1933"/>
      <c r="X516" s="1933"/>
      <c r="Y516" s="1933"/>
      <c r="Z516" s="1933"/>
    </row>
    <row r="517" spans="1:26" ht="12" x14ac:dyDescent="0.2">
      <c r="A517" s="1933"/>
      <c r="B517" s="1933"/>
      <c r="C517" s="1933"/>
      <c r="D517" s="1933"/>
      <c r="E517" s="1933"/>
      <c r="F517" s="1933"/>
      <c r="G517" s="1934"/>
      <c r="H517" s="1933"/>
      <c r="I517" s="1933"/>
      <c r="J517" s="1933"/>
      <c r="K517" s="1933"/>
      <c r="L517" s="1933"/>
      <c r="M517" s="1933"/>
      <c r="N517" s="1933"/>
      <c r="O517" s="1933"/>
      <c r="P517" s="1933"/>
      <c r="Q517" s="1933"/>
      <c r="R517" s="1933"/>
      <c r="S517" s="1933"/>
      <c r="T517" s="1933"/>
      <c r="U517" s="1933"/>
      <c r="V517" s="1933"/>
      <c r="W517" s="1933"/>
      <c r="X517" s="1933"/>
      <c r="Y517" s="1933"/>
      <c r="Z517" s="1933"/>
    </row>
    <row r="518" spans="1:26" ht="12" x14ac:dyDescent="0.2">
      <c r="A518" s="1933"/>
      <c r="B518" s="1933"/>
      <c r="C518" s="1933"/>
      <c r="D518" s="1933"/>
      <c r="E518" s="1933"/>
      <c r="F518" s="1933"/>
      <c r="G518" s="1934"/>
      <c r="H518" s="1933"/>
      <c r="I518" s="1933"/>
      <c r="J518" s="1933"/>
      <c r="K518" s="1933"/>
      <c r="L518" s="1933"/>
      <c r="M518" s="1933"/>
      <c r="N518" s="1933"/>
      <c r="O518" s="1933"/>
      <c r="P518" s="1933"/>
      <c r="Q518" s="1933"/>
      <c r="R518" s="1933"/>
      <c r="S518" s="1933"/>
      <c r="T518" s="1933"/>
      <c r="U518" s="1933"/>
      <c r="V518" s="1933"/>
      <c r="W518" s="1933"/>
      <c r="X518" s="1933"/>
      <c r="Y518" s="1933"/>
      <c r="Z518" s="1933"/>
    </row>
    <row r="519" spans="1:26" ht="12" x14ac:dyDescent="0.2">
      <c r="A519" s="1933"/>
      <c r="B519" s="1933"/>
      <c r="C519" s="1933"/>
      <c r="D519" s="1933"/>
      <c r="E519" s="1933"/>
      <c r="F519" s="1933"/>
      <c r="G519" s="1934"/>
      <c r="H519" s="1933"/>
      <c r="I519" s="1933"/>
      <c r="J519" s="1933"/>
      <c r="K519" s="1933"/>
      <c r="L519" s="1933"/>
      <c r="M519" s="1933"/>
      <c r="N519" s="1933"/>
      <c r="O519" s="1933"/>
      <c r="P519" s="1933"/>
      <c r="Q519" s="1933"/>
      <c r="R519" s="1933"/>
      <c r="S519" s="1933"/>
      <c r="T519" s="1933"/>
      <c r="U519" s="1933"/>
      <c r="V519" s="1933"/>
      <c r="W519" s="1933"/>
      <c r="X519" s="1933"/>
      <c r="Y519" s="1933"/>
      <c r="Z519" s="1933"/>
    </row>
    <row r="520" spans="1:26" ht="12" x14ac:dyDescent="0.2">
      <c r="A520" s="1933"/>
      <c r="B520" s="1933"/>
      <c r="C520" s="1933"/>
      <c r="D520" s="1933"/>
      <c r="E520" s="1933"/>
      <c r="F520" s="1933"/>
      <c r="G520" s="1934"/>
      <c r="H520" s="1933"/>
      <c r="I520" s="1933"/>
      <c r="J520" s="1933"/>
      <c r="K520" s="1933"/>
      <c r="L520" s="1933"/>
      <c r="M520" s="1933"/>
      <c r="N520" s="1933"/>
      <c r="O520" s="1933"/>
      <c r="P520" s="1933"/>
      <c r="Q520" s="1933"/>
      <c r="R520" s="1933"/>
      <c r="S520" s="1933"/>
      <c r="T520" s="1933"/>
      <c r="U520" s="1933"/>
      <c r="V520" s="1933"/>
      <c r="W520" s="1933"/>
      <c r="X520" s="1933"/>
      <c r="Y520" s="1933"/>
      <c r="Z520" s="1933"/>
    </row>
    <row r="521" spans="1:26" ht="12" x14ac:dyDescent="0.2">
      <c r="A521" s="1933"/>
      <c r="B521" s="1933"/>
      <c r="C521" s="1933"/>
      <c r="D521" s="1933"/>
      <c r="E521" s="1933"/>
      <c r="F521" s="1933"/>
      <c r="G521" s="1934"/>
      <c r="H521" s="1933"/>
      <c r="I521" s="1933"/>
      <c r="J521" s="1933"/>
      <c r="K521" s="1933"/>
      <c r="L521" s="1933"/>
      <c r="M521" s="1933"/>
      <c r="N521" s="1933"/>
      <c r="O521" s="1933"/>
      <c r="P521" s="1933"/>
      <c r="Q521" s="1933"/>
      <c r="R521" s="1933"/>
      <c r="S521" s="1933"/>
      <c r="T521" s="1933"/>
      <c r="U521" s="1933"/>
      <c r="V521" s="1933"/>
      <c r="W521" s="1933"/>
      <c r="X521" s="1933"/>
      <c r="Y521" s="1933"/>
      <c r="Z521" s="1933"/>
    </row>
    <row r="522" spans="1:26" ht="12" x14ac:dyDescent="0.2">
      <c r="A522" s="1933"/>
      <c r="B522" s="1933"/>
      <c r="C522" s="1933"/>
      <c r="D522" s="1933"/>
      <c r="E522" s="1933"/>
      <c r="F522" s="1933"/>
      <c r="G522" s="1934"/>
      <c r="H522" s="1933"/>
      <c r="I522" s="1933"/>
      <c r="J522" s="1933"/>
      <c r="K522" s="1933"/>
      <c r="L522" s="1933"/>
      <c r="M522" s="1933"/>
      <c r="N522" s="1933"/>
      <c r="O522" s="1933"/>
      <c r="P522" s="1933"/>
      <c r="Q522" s="1933"/>
      <c r="R522" s="1933"/>
      <c r="S522" s="1933"/>
      <c r="T522" s="1933"/>
      <c r="U522" s="1933"/>
      <c r="V522" s="1933"/>
      <c r="W522" s="1933"/>
      <c r="X522" s="1933"/>
      <c r="Y522" s="1933"/>
      <c r="Z522" s="1933"/>
    </row>
    <row r="523" spans="1:26" ht="12" x14ac:dyDescent="0.2">
      <c r="A523" s="1933"/>
      <c r="B523" s="1933"/>
      <c r="C523" s="1933"/>
      <c r="D523" s="1933"/>
      <c r="E523" s="1933"/>
      <c r="F523" s="1933"/>
      <c r="G523" s="1934"/>
      <c r="H523" s="1933"/>
      <c r="I523" s="1933"/>
      <c r="J523" s="1933"/>
      <c r="K523" s="1933"/>
      <c r="L523" s="1933"/>
      <c r="M523" s="1933"/>
      <c r="N523" s="1933"/>
      <c r="O523" s="1933"/>
      <c r="P523" s="1933"/>
      <c r="Q523" s="1933"/>
      <c r="R523" s="1933"/>
      <c r="S523" s="1933"/>
      <c r="T523" s="1933"/>
      <c r="U523" s="1933"/>
      <c r="V523" s="1933"/>
      <c r="W523" s="1933"/>
      <c r="X523" s="1933"/>
      <c r="Y523" s="1933"/>
      <c r="Z523" s="1933"/>
    </row>
    <row r="524" spans="1:26" ht="12" x14ac:dyDescent="0.2">
      <c r="A524" s="1933"/>
      <c r="B524" s="1933"/>
      <c r="C524" s="1933"/>
      <c r="D524" s="1933"/>
      <c r="E524" s="1933"/>
      <c r="F524" s="1933"/>
      <c r="G524" s="1934"/>
      <c r="H524" s="1933"/>
      <c r="I524" s="1933"/>
      <c r="J524" s="1933"/>
      <c r="K524" s="1933"/>
      <c r="L524" s="1933"/>
      <c r="M524" s="1933"/>
      <c r="N524" s="1933"/>
      <c r="O524" s="1933"/>
      <c r="P524" s="1933"/>
      <c r="Q524" s="1933"/>
      <c r="R524" s="1933"/>
      <c r="S524" s="1933"/>
      <c r="T524" s="1933"/>
      <c r="U524" s="1933"/>
      <c r="V524" s="1933"/>
      <c r="W524" s="1933"/>
      <c r="X524" s="1933"/>
      <c r="Y524" s="1933"/>
      <c r="Z524" s="1933"/>
    </row>
    <row r="525" spans="1:26" ht="12" x14ac:dyDescent="0.2">
      <c r="A525" s="1933"/>
      <c r="B525" s="1933"/>
      <c r="C525" s="1933"/>
      <c r="D525" s="1933"/>
      <c r="E525" s="1933"/>
      <c r="F525" s="1933"/>
      <c r="G525" s="1934"/>
      <c r="H525" s="1933"/>
      <c r="I525" s="1933"/>
      <c r="J525" s="1933"/>
      <c r="K525" s="1933"/>
      <c r="L525" s="1933"/>
      <c r="M525" s="1933"/>
      <c r="N525" s="1933"/>
      <c r="O525" s="1933"/>
      <c r="P525" s="1933"/>
      <c r="Q525" s="1933"/>
      <c r="R525" s="1933"/>
      <c r="S525" s="1933"/>
      <c r="T525" s="1933"/>
      <c r="U525" s="1933"/>
      <c r="V525" s="1933"/>
      <c r="W525" s="1933"/>
      <c r="X525" s="1933"/>
      <c r="Y525" s="1933"/>
      <c r="Z525" s="1933"/>
    </row>
    <row r="526" spans="1:26" ht="12" x14ac:dyDescent="0.2">
      <c r="A526" s="1933"/>
      <c r="B526" s="1933"/>
      <c r="C526" s="1933"/>
      <c r="D526" s="1933"/>
      <c r="E526" s="1933"/>
      <c r="F526" s="1933"/>
      <c r="G526" s="1934"/>
      <c r="H526" s="1933"/>
      <c r="I526" s="1933"/>
      <c r="J526" s="1933"/>
      <c r="K526" s="1933"/>
      <c r="L526" s="1933"/>
      <c r="M526" s="1933"/>
      <c r="N526" s="1933"/>
      <c r="O526" s="1933"/>
      <c r="P526" s="1933"/>
      <c r="Q526" s="1933"/>
      <c r="R526" s="1933"/>
      <c r="S526" s="1933"/>
      <c r="T526" s="1933"/>
      <c r="U526" s="1933"/>
      <c r="V526" s="1933"/>
      <c r="W526" s="1933"/>
      <c r="X526" s="1933"/>
      <c r="Y526" s="1933"/>
      <c r="Z526" s="1933"/>
    </row>
    <row r="527" spans="1:26" ht="12" x14ac:dyDescent="0.2">
      <c r="A527" s="1933"/>
      <c r="B527" s="1933"/>
      <c r="C527" s="1933"/>
      <c r="D527" s="1933"/>
      <c r="E527" s="1933"/>
      <c r="F527" s="1933"/>
      <c r="G527" s="1934"/>
      <c r="H527" s="1933"/>
      <c r="I527" s="1933"/>
      <c r="J527" s="1933"/>
      <c r="K527" s="1933"/>
      <c r="L527" s="1933"/>
      <c r="M527" s="1933"/>
      <c r="N527" s="1933"/>
      <c r="O527" s="1933"/>
      <c r="P527" s="1933"/>
      <c r="Q527" s="1933"/>
      <c r="R527" s="1933"/>
      <c r="S527" s="1933"/>
      <c r="T527" s="1933"/>
      <c r="U527" s="1933"/>
      <c r="V527" s="1933"/>
      <c r="W527" s="1933"/>
      <c r="X527" s="1933"/>
      <c r="Y527" s="1933"/>
      <c r="Z527" s="1933"/>
    </row>
    <row r="528" spans="1:26" ht="12" x14ac:dyDescent="0.2">
      <c r="A528" s="1933"/>
      <c r="B528" s="1933"/>
      <c r="C528" s="1933"/>
      <c r="D528" s="1933"/>
      <c r="E528" s="1933"/>
      <c r="F528" s="1933"/>
      <c r="G528" s="1934"/>
      <c r="H528" s="1933"/>
      <c r="I528" s="1933"/>
      <c r="J528" s="1933"/>
      <c r="K528" s="1933"/>
      <c r="L528" s="1933"/>
      <c r="M528" s="1933"/>
      <c r="N528" s="1933"/>
      <c r="O528" s="1933"/>
      <c r="P528" s="1933"/>
      <c r="Q528" s="1933"/>
      <c r="R528" s="1933"/>
      <c r="S528" s="1933"/>
      <c r="T528" s="1933"/>
      <c r="U528" s="1933"/>
      <c r="V528" s="1933"/>
      <c r="W528" s="1933"/>
      <c r="X528" s="1933"/>
      <c r="Y528" s="1933"/>
      <c r="Z528" s="1933"/>
    </row>
    <row r="529" spans="1:26" ht="12" x14ac:dyDescent="0.2">
      <c r="A529" s="1933"/>
      <c r="B529" s="1933"/>
      <c r="C529" s="1933"/>
      <c r="D529" s="1933"/>
      <c r="E529" s="1933"/>
      <c r="F529" s="1933"/>
      <c r="G529" s="1934"/>
      <c r="H529" s="1933"/>
      <c r="I529" s="1933"/>
      <c r="J529" s="1933"/>
      <c r="K529" s="1933"/>
      <c r="L529" s="1933"/>
      <c r="M529" s="1933"/>
      <c r="N529" s="1933"/>
      <c r="O529" s="1933"/>
      <c r="P529" s="1933"/>
      <c r="Q529" s="1933"/>
      <c r="R529" s="1933"/>
      <c r="S529" s="1933"/>
      <c r="T529" s="1933"/>
      <c r="U529" s="1933"/>
      <c r="V529" s="1933"/>
      <c r="W529" s="1933"/>
      <c r="X529" s="1933"/>
      <c r="Y529" s="1933"/>
      <c r="Z529" s="1933"/>
    </row>
    <row r="530" spans="1:26" ht="12" x14ac:dyDescent="0.2">
      <c r="A530" s="1933"/>
      <c r="B530" s="1933"/>
      <c r="C530" s="1933"/>
      <c r="D530" s="1933"/>
      <c r="E530" s="1933"/>
      <c r="F530" s="1933"/>
      <c r="G530" s="1934"/>
      <c r="H530" s="1933"/>
      <c r="I530" s="1933"/>
      <c r="J530" s="1933"/>
      <c r="K530" s="1933"/>
      <c r="L530" s="1933"/>
      <c r="M530" s="1933"/>
      <c r="N530" s="1933"/>
      <c r="O530" s="1933"/>
      <c r="P530" s="1933"/>
      <c r="Q530" s="1933"/>
      <c r="R530" s="1933"/>
      <c r="S530" s="1933"/>
      <c r="T530" s="1933"/>
      <c r="U530" s="1933"/>
      <c r="V530" s="1933"/>
      <c r="W530" s="1933"/>
      <c r="X530" s="1933"/>
      <c r="Y530" s="1933"/>
      <c r="Z530" s="1933"/>
    </row>
    <row r="531" spans="1:26" ht="12" x14ac:dyDescent="0.2">
      <c r="A531" s="1933"/>
      <c r="B531" s="1933"/>
      <c r="C531" s="1933"/>
      <c r="D531" s="1933"/>
      <c r="E531" s="1933"/>
      <c r="F531" s="1933"/>
      <c r="G531" s="1934"/>
      <c r="H531" s="1933"/>
      <c r="I531" s="1933"/>
      <c r="J531" s="1933"/>
      <c r="K531" s="1933"/>
      <c r="L531" s="1933"/>
      <c r="M531" s="1933"/>
      <c r="N531" s="1933"/>
      <c r="O531" s="1933"/>
      <c r="P531" s="1933"/>
      <c r="Q531" s="1933"/>
      <c r="R531" s="1933"/>
      <c r="S531" s="1933"/>
      <c r="T531" s="1933"/>
      <c r="U531" s="1933"/>
      <c r="V531" s="1933"/>
      <c r="W531" s="1933"/>
      <c r="X531" s="1933"/>
      <c r="Y531" s="1933"/>
      <c r="Z531" s="1933"/>
    </row>
    <row r="532" spans="1:26" ht="12" x14ac:dyDescent="0.2">
      <c r="A532" s="1933"/>
      <c r="B532" s="1933"/>
      <c r="C532" s="1933"/>
      <c r="D532" s="1933"/>
      <c r="E532" s="1933"/>
      <c r="F532" s="1933"/>
      <c r="G532" s="1934"/>
      <c r="H532" s="1933"/>
      <c r="I532" s="1933"/>
      <c r="J532" s="1933"/>
      <c r="K532" s="1933"/>
      <c r="L532" s="1933"/>
      <c r="M532" s="1933"/>
      <c r="N532" s="1933"/>
      <c r="O532" s="1933"/>
      <c r="P532" s="1933"/>
      <c r="Q532" s="1933"/>
      <c r="R532" s="1933"/>
      <c r="S532" s="1933"/>
      <c r="T532" s="1933"/>
      <c r="U532" s="1933"/>
      <c r="V532" s="1933"/>
      <c r="W532" s="1933"/>
      <c r="X532" s="1933"/>
      <c r="Y532" s="1933"/>
      <c r="Z532" s="1933"/>
    </row>
    <row r="533" spans="1:26" ht="12" x14ac:dyDescent="0.2">
      <c r="A533" s="1933"/>
      <c r="B533" s="1933"/>
      <c r="C533" s="1933"/>
      <c r="D533" s="1933"/>
      <c r="E533" s="1933"/>
      <c r="F533" s="1933"/>
      <c r="G533" s="1934"/>
      <c r="H533" s="1933"/>
      <c r="I533" s="1933"/>
      <c r="J533" s="1933"/>
      <c r="K533" s="1933"/>
      <c r="L533" s="1933"/>
      <c r="M533" s="1933"/>
      <c r="N533" s="1933"/>
      <c r="O533" s="1933"/>
      <c r="P533" s="1933"/>
      <c r="Q533" s="1933"/>
      <c r="R533" s="1933"/>
      <c r="S533" s="1933"/>
      <c r="T533" s="1933"/>
      <c r="U533" s="1933"/>
      <c r="V533" s="1933"/>
      <c r="W533" s="1933"/>
      <c r="X533" s="1933"/>
      <c r="Y533" s="1933"/>
      <c r="Z533" s="1933"/>
    </row>
    <row r="534" spans="1:26" ht="12" x14ac:dyDescent="0.2">
      <c r="A534" s="1933"/>
      <c r="B534" s="1933"/>
      <c r="C534" s="1933"/>
      <c r="D534" s="1933"/>
      <c r="E534" s="1933"/>
      <c r="F534" s="1933"/>
      <c r="G534" s="1934"/>
      <c r="H534" s="1933"/>
      <c r="I534" s="1933"/>
      <c r="J534" s="1933"/>
      <c r="K534" s="1933"/>
      <c r="L534" s="1933"/>
      <c r="M534" s="1933"/>
      <c r="N534" s="1933"/>
      <c r="O534" s="1933"/>
      <c r="P534" s="1933"/>
      <c r="Q534" s="1933"/>
      <c r="R534" s="1933"/>
      <c r="S534" s="1933"/>
      <c r="T534" s="1933"/>
      <c r="U534" s="1933"/>
      <c r="V534" s="1933"/>
      <c r="W534" s="1933"/>
      <c r="X534" s="1933"/>
      <c r="Y534" s="1933"/>
      <c r="Z534" s="1933"/>
    </row>
    <row r="535" spans="1:26" ht="12" x14ac:dyDescent="0.2">
      <c r="A535" s="1933"/>
      <c r="B535" s="1933"/>
      <c r="C535" s="1933"/>
      <c r="D535" s="1933"/>
      <c r="E535" s="1933"/>
      <c r="F535" s="1933"/>
      <c r="G535" s="1934"/>
      <c r="H535" s="1933"/>
      <c r="I535" s="1933"/>
      <c r="J535" s="1933"/>
      <c r="K535" s="1933"/>
      <c r="L535" s="1933"/>
      <c r="M535" s="1933"/>
      <c r="N535" s="1933"/>
      <c r="O535" s="1933"/>
      <c r="P535" s="1933"/>
      <c r="Q535" s="1933"/>
      <c r="R535" s="1933"/>
      <c r="S535" s="1933"/>
      <c r="T535" s="1933"/>
      <c r="U535" s="1933"/>
      <c r="V535" s="1933"/>
      <c r="W535" s="1933"/>
      <c r="X535" s="1933"/>
      <c r="Y535" s="1933"/>
      <c r="Z535" s="1933"/>
    </row>
    <row r="536" spans="1:26" ht="12" x14ac:dyDescent="0.2">
      <c r="A536" s="1933"/>
      <c r="B536" s="1933"/>
      <c r="C536" s="1933"/>
      <c r="D536" s="1933"/>
      <c r="E536" s="1933"/>
      <c r="F536" s="1933"/>
      <c r="G536" s="1934"/>
      <c r="H536" s="1933"/>
      <c r="I536" s="1933"/>
      <c r="J536" s="1933"/>
      <c r="K536" s="1933"/>
      <c r="L536" s="1933"/>
      <c r="M536" s="1933"/>
      <c r="N536" s="1933"/>
      <c r="O536" s="1933"/>
      <c r="P536" s="1933"/>
      <c r="Q536" s="1933"/>
      <c r="R536" s="1933"/>
      <c r="S536" s="1933"/>
      <c r="T536" s="1933"/>
      <c r="U536" s="1933"/>
      <c r="V536" s="1933"/>
      <c r="W536" s="1933"/>
      <c r="X536" s="1933"/>
      <c r="Y536" s="1933"/>
      <c r="Z536" s="1933"/>
    </row>
    <row r="537" spans="1:26" ht="12" x14ac:dyDescent="0.2">
      <c r="A537" s="1933"/>
      <c r="B537" s="1933"/>
      <c r="C537" s="1933"/>
      <c r="D537" s="1933"/>
      <c r="E537" s="1933"/>
      <c r="F537" s="1933"/>
      <c r="G537" s="1934"/>
      <c r="H537" s="1933"/>
      <c r="I537" s="1933"/>
      <c r="J537" s="1933"/>
      <c r="K537" s="1933"/>
      <c r="L537" s="1933"/>
      <c r="M537" s="1933"/>
      <c r="N537" s="1933"/>
      <c r="O537" s="1933"/>
      <c r="P537" s="1933"/>
      <c r="Q537" s="1933"/>
      <c r="R537" s="1933"/>
      <c r="S537" s="1933"/>
      <c r="T537" s="1933"/>
      <c r="U537" s="1933"/>
      <c r="V537" s="1933"/>
      <c r="W537" s="1933"/>
      <c r="X537" s="1933"/>
      <c r="Y537" s="1933"/>
      <c r="Z537" s="1933"/>
    </row>
    <row r="538" spans="1:26" ht="12" x14ac:dyDescent="0.2">
      <c r="A538" s="1933"/>
      <c r="B538" s="1933"/>
      <c r="C538" s="1933"/>
      <c r="D538" s="1933"/>
      <c r="E538" s="1933"/>
      <c r="F538" s="1933"/>
      <c r="G538" s="1934"/>
      <c r="H538" s="1933"/>
      <c r="I538" s="1933"/>
      <c r="J538" s="1933"/>
      <c r="K538" s="1933"/>
      <c r="L538" s="1933"/>
      <c r="M538" s="1933"/>
      <c r="N538" s="1933"/>
      <c r="O538" s="1933"/>
      <c r="P538" s="1933"/>
      <c r="Q538" s="1933"/>
      <c r="R538" s="1933"/>
      <c r="S538" s="1933"/>
      <c r="T538" s="1933"/>
      <c r="U538" s="1933"/>
      <c r="V538" s="1933"/>
      <c r="W538" s="1933"/>
      <c r="X538" s="1933"/>
      <c r="Y538" s="1933"/>
      <c r="Z538" s="1933"/>
    </row>
    <row r="539" spans="1:26" ht="12" x14ac:dyDescent="0.2">
      <c r="A539" s="1933"/>
      <c r="B539" s="1933"/>
      <c r="C539" s="1933"/>
      <c r="D539" s="1933"/>
      <c r="E539" s="1933"/>
      <c r="F539" s="1933"/>
      <c r="G539" s="1934"/>
      <c r="H539" s="1933"/>
      <c r="I539" s="1933"/>
      <c r="J539" s="1933"/>
      <c r="K539" s="1933"/>
      <c r="L539" s="1933"/>
      <c r="M539" s="1933"/>
      <c r="N539" s="1933"/>
      <c r="O539" s="1933"/>
      <c r="P539" s="1933"/>
      <c r="Q539" s="1933"/>
      <c r="R539" s="1933"/>
      <c r="S539" s="1933"/>
      <c r="T539" s="1933"/>
      <c r="U539" s="1933"/>
      <c r="V539" s="1933"/>
      <c r="W539" s="1933"/>
      <c r="X539" s="1933"/>
      <c r="Y539" s="1933"/>
      <c r="Z539" s="1933"/>
    </row>
    <row r="540" spans="1:26" ht="12" x14ac:dyDescent="0.2">
      <c r="A540" s="1933"/>
      <c r="B540" s="1933"/>
      <c r="C540" s="1933"/>
      <c r="D540" s="1933"/>
      <c r="E540" s="1933"/>
      <c r="F540" s="1933"/>
      <c r="G540" s="1934"/>
      <c r="H540" s="1933"/>
      <c r="I540" s="1933"/>
      <c r="J540" s="1933"/>
      <c r="K540" s="1933"/>
      <c r="L540" s="1933"/>
      <c r="M540" s="1933"/>
      <c r="N540" s="1933"/>
      <c r="O540" s="1933"/>
      <c r="P540" s="1933"/>
      <c r="Q540" s="1933"/>
      <c r="R540" s="1933"/>
      <c r="S540" s="1933"/>
      <c r="T540" s="1933"/>
      <c r="U540" s="1933"/>
      <c r="V540" s="1933"/>
      <c r="W540" s="1933"/>
      <c r="X540" s="1933"/>
      <c r="Y540" s="1933"/>
      <c r="Z540" s="1933"/>
    </row>
    <row r="541" spans="1:26" ht="12" x14ac:dyDescent="0.2">
      <c r="A541" s="1933"/>
      <c r="B541" s="1933"/>
      <c r="C541" s="1933"/>
      <c r="D541" s="1933"/>
      <c r="E541" s="1933"/>
      <c r="F541" s="1933"/>
      <c r="G541" s="1934"/>
      <c r="H541" s="1933"/>
      <c r="I541" s="1933"/>
      <c r="J541" s="1933"/>
      <c r="K541" s="1933"/>
      <c r="L541" s="1933"/>
      <c r="M541" s="1933"/>
      <c r="N541" s="1933"/>
      <c r="O541" s="1933"/>
      <c r="P541" s="1933"/>
      <c r="Q541" s="1933"/>
      <c r="R541" s="1933"/>
      <c r="S541" s="1933"/>
      <c r="T541" s="1933"/>
      <c r="U541" s="1933"/>
      <c r="V541" s="1933"/>
      <c r="W541" s="1933"/>
      <c r="X541" s="1933"/>
      <c r="Y541" s="1933"/>
      <c r="Z541" s="1933"/>
    </row>
    <row r="542" spans="1:26" ht="12" x14ac:dyDescent="0.2">
      <c r="A542" s="1933"/>
      <c r="B542" s="1933"/>
      <c r="C542" s="1933"/>
      <c r="D542" s="1933"/>
      <c r="E542" s="1933"/>
      <c r="F542" s="1933"/>
      <c r="G542" s="1934"/>
      <c r="H542" s="1933"/>
      <c r="I542" s="1933"/>
      <c r="J542" s="1933"/>
      <c r="K542" s="1933"/>
      <c r="L542" s="1933"/>
      <c r="M542" s="1933"/>
      <c r="N542" s="1933"/>
      <c r="O542" s="1933"/>
      <c r="P542" s="1933"/>
      <c r="Q542" s="1933"/>
      <c r="R542" s="1933"/>
      <c r="S542" s="1933"/>
      <c r="T542" s="1933"/>
      <c r="U542" s="1933"/>
      <c r="V542" s="1933"/>
      <c r="W542" s="1933"/>
      <c r="X542" s="1933"/>
      <c r="Y542" s="1933"/>
      <c r="Z542" s="1933"/>
    </row>
    <row r="543" spans="1:26" ht="12" x14ac:dyDescent="0.2">
      <c r="A543" s="1933"/>
      <c r="B543" s="1933"/>
      <c r="C543" s="1933"/>
      <c r="D543" s="1933"/>
      <c r="E543" s="1933"/>
      <c r="F543" s="1933"/>
      <c r="G543" s="1934"/>
      <c r="H543" s="1933"/>
      <c r="I543" s="1933"/>
      <c r="J543" s="1933"/>
      <c r="K543" s="1933"/>
      <c r="L543" s="1933"/>
      <c r="M543" s="1933"/>
      <c r="N543" s="1933"/>
      <c r="O543" s="1933"/>
      <c r="P543" s="1933"/>
      <c r="Q543" s="1933"/>
      <c r="R543" s="1933"/>
      <c r="S543" s="1933"/>
      <c r="T543" s="1933"/>
      <c r="U543" s="1933"/>
      <c r="V543" s="1933"/>
      <c r="W543" s="1933"/>
      <c r="X543" s="1933"/>
      <c r="Y543" s="1933"/>
      <c r="Z543" s="1933"/>
    </row>
    <row r="544" spans="1:26" ht="12" x14ac:dyDescent="0.2">
      <c r="A544" s="1933"/>
      <c r="B544" s="1933"/>
      <c r="C544" s="1933"/>
      <c r="D544" s="1933"/>
      <c r="E544" s="1933"/>
      <c r="F544" s="1933"/>
      <c r="G544" s="1934"/>
      <c r="H544" s="1933"/>
      <c r="I544" s="1933"/>
      <c r="J544" s="1933"/>
      <c r="K544" s="1933"/>
      <c r="L544" s="1933"/>
      <c r="M544" s="1933"/>
      <c r="N544" s="1933"/>
      <c r="O544" s="1933"/>
      <c r="P544" s="1933"/>
      <c r="Q544" s="1933"/>
      <c r="R544" s="1933"/>
      <c r="S544" s="1933"/>
      <c r="T544" s="1933"/>
      <c r="U544" s="1933"/>
      <c r="V544" s="1933"/>
      <c r="W544" s="1933"/>
      <c r="X544" s="1933"/>
      <c r="Y544" s="1933"/>
      <c r="Z544" s="1933"/>
    </row>
    <row r="545" spans="1:26" ht="12" x14ac:dyDescent="0.2">
      <c r="A545" s="1933"/>
      <c r="B545" s="1933"/>
      <c r="C545" s="1933"/>
      <c r="D545" s="1933"/>
      <c r="E545" s="1933"/>
      <c r="F545" s="1933"/>
      <c r="G545" s="1934"/>
      <c r="H545" s="1933"/>
      <c r="I545" s="1933"/>
      <c r="J545" s="1933"/>
      <c r="K545" s="1933"/>
      <c r="L545" s="1933"/>
      <c r="M545" s="1933"/>
      <c r="N545" s="1933"/>
      <c r="O545" s="1933"/>
      <c r="P545" s="1933"/>
      <c r="Q545" s="1933"/>
      <c r="R545" s="1933"/>
      <c r="S545" s="1933"/>
      <c r="T545" s="1933"/>
      <c r="U545" s="1933"/>
      <c r="V545" s="1933"/>
      <c r="W545" s="1933"/>
      <c r="X545" s="1933"/>
      <c r="Y545" s="1933"/>
      <c r="Z545" s="1933"/>
    </row>
    <row r="546" spans="1:26" ht="12" x14ac:dyDescent="0.2">
      <c r="A546" s="1933"/>
      <c r="B546" s="1933"/>
      <c r="C546" s="1933"/>
      <c r="D546" s="1933"/>
      <c r="E546" s="1933"/>
      <c r="F546" s="1933"/>
      <c r="G546" s="1934"/>
      <c r="H546" s="1933"/>
      <c r="I546" s="1933"/>
      <c r="J546" s="1933"/>
      <c r="K546" s="1933"/>
      <c r="L546" s="1933"/>
      <c r="M546" s="1933"/>
      <c r="N546" s="1933"/>
      <c r="O546" s="1933"/>
      <c r="P546" s="1933"/>
      <c r="Q546" s="1933"/>
      <c r="R546" s="1933"/>
      <c r="S546" s="1933"/>
      <c r="T546" s="1933"/>
      <c r="U546" s="1933"/>
      <c r="V546" s="1933"/>
      <c r="W546" s="1933"/>
      <c r="X546" s="1933"/>
      <c r="Y546" s="1933"/>
      <c r="Z546" s="1933"/>
    </row>
    <row r="547" spans="1:26" ht="12" x14ac:dyDescent="0.2">
      <c r="A547" s="1933"/>
      <c r="B547" s="1933"/>
      <c r="C547" s="1933"/>
      <c r="D547" s="1933"/>
      <c r="E547" s="1933"/>
      <c r="F547" s="1933"/>
      <c r="G547" s="1934"/>
      <c r="H547" s="1933"/>
      <c r="I547" s="1933"/>
      <c r="J547" s="1933"/>
      <c r="K547" s="1933"/>
      <c r="L547" s="1933"/>
      <c r="M547" s="1933"/>
      <c r="N547" s="1933"/>
      <c r="O547" s="1933"/>
      <c r="P547" s="1933"/>
      <c r="Q547" s="1933"/>
      <c r="R547" s="1933"/>
      <c r="S547" s="1933"/>
      <c r="T547" s="1933"/>
      <c r="U547" s="1933"/>
      <c r="V547" s="1933"/>
      <c r="W547" s="1933"/>
      <c r="X547" s="1933"/>
      <c r="Y547" s="1933"/>
      <c r="Z547" s="1933"/>
    </row>
    <row r="548" spans="1:26" ht="12" x14ac:dyDescent="0.2">
      <c r="A548" s="1933"/>
      <c r="B548" s="1933"/>
      <c r="C548" s="1933"/>
      <c r="D548" s="1933"/>
      <c r="E548" s="1933"/>
      <c r="F548" s="1933"/>
      <c r="G548" s="1934"/>
      <c r="H548" s="1933"/>
      <c r="I548" s="1933"/>
      <c r="J548" s="1933"/>
      <c r="K548" s="1933"/>
      <c r="L548" s="1933"/>
      <c r="M548" s="1933"/>
      <c r="N548" s="1933"/>
      <c r="O548" s="1933"/>
      <c r="P548" s="1933"/>
      <c r="Q548" s="1933"/>
      <c r="R548" s="1933"/>
      <c r="S548" s="1933"/>
      <c r="T548" s="1933"/>
      <c r="U548" s="1933"/>
      <c r="V548" s="1933"/>
      <c r="W548" s="1933"/>
      <c r="X548" s="1933"/>
      <c r="Y548" s="1933"/>
      <c r="Z548" s="1933"/>
    </row>
    <row r="549" spans="1:26" ht="12" x14ac:dyDescent="0.2">
      <c r="A549" s="1933"/>
      <c r="B549" s="1933"/>
      <c r="C549" s="1933"/>
      <c r="D549" s="1933"/>
      <c r="E549" s="1933"/>
      <c r="F549" s="1933"/>
      <c r="G549" s="1934"/>
      <c r="H549" s="1933"/>
      <c r="I549" s="1933"/>
      <c r="J549" s="1933"/>
      <c r="K549" s="1933"/>
      <c r="L549" s="1933"/>
      <c r="M549" s="1933"/>
      <c r="N549" s="1933"/>
      <c r="O549" s="1933"/>
      <c r="P549" s="1933"/>
      <c r="Q549" s="1933"/>
      <c r="R549" s="1933"/>
      <c r="S549" s="1933"/>
      <c r="T549" s="1933"/>
      <c r="U549" s="1933"/>
      <c r="V549" s="1933"/>
      <c r="W549" s="1933"/>
      <c r="X549" s="1933"/>
      <c r="Y549" s="1933"/>
      <c r="Z549" s="1933"/>
    </row>
    <row r="550" spans="1:26" ht="12" x14ac:dyDescent="0.2">
      <c r="A550" s="1933"/>
      <c r="B550" s="1933"/>
      <c r="C550" s="1933"/>
      <c r="D550" s="1933"/>
      <c r="E550" s="1933"/>
      <c r="F550" s="1933"/>
      <c r="G550" s="1934"/>
      <c r="H550" s="1933"/>
      <c r="I550" s="1933"/>
      <c r="J550" s="1933"/>
      <c r="K550" s="1933"/>
      <c r="L550" s="1933"/>
      <c r="M550" s="1933"/>
      <c r="N550" s="1933"/>
      <c r="O550" s="1933"/>
      <c r="P550" s="1933"/>
      <c r="Q550" s="1933"/>
      <c r="R550" s="1933"/>
      <c r="S550" s="1933"/>
      <c r="T550" s="1933"/>
      <c r="U550" s="1933"/>
      <c r="V550" s="1933"/>
      <c r="W550" s="1933"/>
      <c r="X550" s="1933"/>
      <c r="Y550" s="1933"/>
      <c r="Z550" s="1933"/>
    </row>
    <row r="551" spans="1:26" ht="12" x14ac:dyDescent="0.2">
      <c r="A551" s="1933"/>
      <c r="B551" s="1933"/>
      <c r="C551" s="1933"/>
      <c r="D551" s="1933"/>
      <c r="E551" s="1933"/>
      <c r="F551" s="1933"/>
      <c r="G551" s="1934"/>
      <c r="H551" s="1933"/>
      <c r="I551" s="1933"/>
      <c r="J551" s="1933"/>
      <c r="K551" s="1933"/>
      <c r="L551" s="1933"/>
      <c r="M551" s="1933"/>
      <c r="N551" s="1933"/>
      <c r="O551" s="1933"/>
      <c r="P551" s="1933"/>
      <c r="Q551" s="1933"/>
      <c r="R551" s="1933"/>
      <c r="S551" s="1933"/>
      <c r="T551" s="1933"/>
      <c r="U551" s="1933"/>
      <c r="V551" s="1933"/>
      <c r="W551" s="1933"/>
      <c r="X551" s="1933"/>
      <c r="Y551" s="1933"/>
      <c r="Z551" s="1933"/>
    </row>
    <row r="552" spans="1:26" ht="12" x14ac:dyDescent="0.2">
      <c r="A552" s="1933"/>
      <c r="B552" s="1933"/>
      <c r="C552" s="1933"/>
      <c r="D552" s="1933"/>
      <c r="E552" s="1933"/>
      <c r="F552" s="1933"/>
      <c r="G552" s="1934"/>
      <c r="H552" s="1933"/>
      <c r="I552" s="1933"/>
      <c r="J552" s="1933"/>
      <c r="K552" s="1933"/>
      <c r="L552" s="1933"/>
      <c r="M552" s="1933"/>
      <c r="N552" s="1933"/>
      <c r="O552" s="1933"/>
      <c r="P552" s="1933"/>
      <c r="Q552" s="1933"/>
      <c r="R552" s="1933"/>
      <c r="S552" s="1933"/>
      <c r="T552" s="1933"/>
      <c r="U552" s="1933"/>
      <c r="V552" s="1933"/>
      <c r="W552" s="1933"/>
      <c r="X552" s="1933"/>
      <c r="Y552" s="1933"/>
      <c r="Z552" s="1933"/>
    </row>
    <row r="553" spans="1:26" ht="12" x14ac:dyDescent="0.2">
      <c r="A553" s="1933"/>
      <c r="B553" s="1933"/>
      <c r="C553" s="1933"/>
      <c r="D553" s="1933"/>
      <c r="E553" s="1933"/>
      <c r="F553" s="1933"/>
      <c r="G553" s="1934"/>
      <c r="H553" s="1933"/>
      <c r="I553" s="1933"/>
      <c r="J553" s="1933"/>
      <c r="K553" s="1933"/>
      <c r="L553" s="1933"/>
      <c r="M553" s="1933"/>
      <c r="N553" s="1933"/>
      <c r="O553" s="1933"/>
      <c r="P553" s="1933"/>
      <c r="Q553" s="1933"/>
      <c r="R553" s="1933"/>
      <c r="S553" s="1933"/>
      <c r="T553" s="1933"/>
      <c r="U553" s="1933"/>
      <c r="V553" s="1933"/>
      <c r="W553" s="1933"/>
      <c r="X553" s="1933"/>
      <c r="Y553" s="1933"/>
      <c r="Z553" s="1933"/>
    </row>
    <row r="554" spans="1:26" ht="12" x14ac:dyDescent="0.2">
      <c r="A554" s="1933"/>
      <c r="B554" s="1933"/>
      <c r="C554" s="1933"/>
      <c r="D554" s="1933"/>
      <c r="E554" s="1933"/>
      <c r="F554" s="1933"/>
      <c r="G554" s="1934"/>
      <c r="H554" s="1933"/>
      <c r="I554" s="1933"/>
      <c r="J554" s="1933"/>
      <c r="K554" s="1933"/>
      <c r="L554" s="1933"/>
      <c r="M554" s="1933"/>
      <c r="N554" s="1933"/>
      <c r="O554" s="1933"/>
      <c r="P554" s="1933"/>
      <c r="Q554" s="1933"/>
      <c r="R554" s="1933"/>
      <c r="S554" s="1933"/>
      <c r="T554" s="1933"/>
      <c r="U554" s="1933"/>
      <c r="V554" s="1933"/>
      <c r="W554" s="1933"/>
      <c r="X554" s="1933"/>
      <c r="Y554" s="1933"/>
      <c r="Z554" s="1933"/>
    </row>
    <row r="555" spans="1:26" ht="12" x14ac:dyDescent="0.2">
      <c r="A555" s="1933"/>
      <c r="B555" s="1933"/>
      <c r="C555" s="1933"/>
      <c r="D555" s="1933"/>
      <c r="E555" s="1933"/>
      <c r="F555" s="1933"/>
      <c r="G555" s="1934"/>
      <c r="H555" s="1933"/>
      <c r="I555" s="1933"/>
      <c r="J555" s="1933"/>
      <c r="K555" s="1933"/>
      <c r="L555" s="1933"/>
      <c r="M555" s="1933"/>
      <c r="N555" s="1933"/>
      <c r="O555" s="1933"/>
      <c r="P555" s="1933"/>
      <c r="Q555" s="1933"/>
      <c r="R555" s="1933"/>
      <c r="S555" s="1933"/>
      <c r="T555" s="1933"/>
      <c r="U555" s="1933"/>
      <c r="V555" s="1933"/>
      <c r="W555" s="1933"/>
      <c r="X555" s="1933"/>
      <c r="Y555" s="1933"/>
      <c r="Z555" s="1933"/>
    </row>
    <row r="556" spans="1:26" ht="12" x14ac:dyDescent="0.2">
      <c r="A556" s="1933"/>
      <c r="B556" s="1933"/>
      <c r="C556" s="1933"/>
      <c r="D556" s="1933"/>
      <c r="E556" s="1933"/>
      <c r="F556" s="1933"/>
      <c r="G556" s="1934"/>
      <c r="H556" s="1933"/>
      <c r="I556" s="1933"/>
      <c r="J556" s="1933"/>
      <c r="K556" s="1933"/>
      <c r="L556" s="1933"/>
      <c r="M556" s="1933"/>
      <c r="N556" s="1933"/>
      <c r="O556" s="1933"/>
      <c r="P556" s="1933"/>
      <c r="Q556" s="1933"/>
      <c r="R556" s="1933"/>
      <c r="S556" s="1933"/>
      <c r="T556" s="1933"/>
      <c r="U556" s="1933"/>
      <c r="V556" s="1933"/>
      <c r="W556" s="1933"/>
      <c r="X556" s="1933"/>
      <c r="Y556" s="1933"/>
      <c r="Z556" s="1933"/>
    </row>
    <row r="557" spans="1:26" ht="12" x14ac:dyDescent="0.2">
      <c r="A557" s="1933"/>
      <c r="B557" s="1933"/>
      <c r="C557" s="1933"/>
      <c r="D557" s="1933"/>
      <c r="E557" s="1933"/>
      <c r="F557" s="1933"/>
      <c r="G557" s="1934"/>
      <c r="H557" s="1933"/>
      <c r="I557" s="1933"/>
      <c r="J557" s="1933"/>
      <c r="K557" s="1933"/>
      <c r="L557" s="1933"/>
      <c r="M557" s="1933"/>
      <c r="N557" s="1933"/>
      <c r="O557" s="1933"/>
      <c r="P557" s="1933"/>
      <c r="Q557" s="1933"/>
      <c r="R557" s="1933"/>
      <c r="S557" s="1933"/>
      <c r="T557" s="1933"/>
      <c r="U557" s="1933"/>
      <c r="V557" s="1933"/>
      <c r="W557" s="1933"/>
      <c r="X557" s="1933"/>
      <c r="Y557" s="1933"/>
      <c r="Z557" s="1933"/>
    </row>
    <row r="558" spans="1:26" ht="12" x14ac:dyDescent="0.2">
      <c r="A558" s="1933"/>
      <c r="B558" s="1933"/>
      <c r="C558" s="1933"/>
      <c r="D558" s="1933"/>
      <c r="E558" s="1933"/>
      <c r="F558" s="1933"/>
      <c r="G558" s="1934"/>
      <c r="H558" s="1933"/>
      <c r="I558" s="1933"/>
      <c r="J558" s="1933"/>
      <c r="K558" s="1933"/>
      <c r="L558" s="1933"/>
      <c r="M558" s="1933"/>
      <c r="N558" s="1933"/>
      <c r="O558" s="1933"/>
      <c r="P558" s="1933"/>
      <c r="Q558" s="1933"/>
      <c r="R558" s="1933"/>
      <c r="S558" s="1933"/>
      <c r="T558" s="1933"/>
      <c r="U558" s="1933"/>
      <c r="V558" s="1933"/>
      <c r="W558" s="1933"/>
      <c r="X558" s="1933"/>
      <c r="Y558" s="1933"/>
      <c r="Z558" s="1933"/>
    </row>
    <row r="559" spans="1:26" ht="12" x14ac:dyDescent="0.2">
      <c r="A559" s="1933"/>
      <c r="B559" s="1933"/>
      <c r="C559" s="1933"/>
      <c r="D559" s="1933"/>
      <c r="E559" s="1933"/>
      <c r="F559" s="1933"/>
      <c r="G559" s="1934"/>
      <c r="H559" s="1933"/>
      <c r="I559" s="1933"/>
      <c r="J559" s="1933"/>
      <c r="K559" s="1933"/>
      <c r="L559" s="1933"/>
      <c r="M559" s="1933"/>
      <c r="N559" s="1933"/>
      <c r="O559" s="1933"/>
      <c r="P559" s="1933"/>
      <c r="Q559" s="1933"/>
      <c r="R559" s="1933"/>
      <c r="S559" s="1933"/>
      <c r="T559" s="1933"/>
      <c r="U559" s="1933"/>
      <c r="V559" s="1933"/>
      <c r="W559" s="1933"/>
      <c r="X559" s="1933"/>
      <c r="Y559" s="1933"/>
      <c r="Z559" s="1933"/>
    </row>
    <row r="560" spans="1:26" ht="12" x14ac:dyDescent="0.2">
      <c r="A560" s="1933"/>
      <c r="B560" s="1933"/>
      <c r="C560" s="1933"/>
      <c r="D560" s="1933"/>
      <c r="E560" s="1933"/>
      <c r="F560" s="1933"/>
      <c r="G560" s="1934"/>
      <c r="H560" s="1933"/>
      <c r="I560" s="1933"/>
      <c r="J560" s="1933"/>
      <c r="K560" s="1933"/>
      <c r="L560" s="1933"/>
      <c r="M560" s="1933"/>
      <c r="N560" s="1933"/>
      <c r="O560" s="1933"/>
      <c r="P560" s="1933"/>
      <c r="Q560" s="1933"/>
      <c r="R560" s="1933"/>
      <c r="S560" s="1933"/>
      <c r="T560" s="1933"/>
      <c r="U560" s="1933"/>
      <c r="V560" s="1933"/>
      <c r="W560" s="1933"/>
      <c r="X560" s="1933"/>
      <c r="Y560" s="1933"/>
      <c r="Z560" s="1933"/>
    </row>
    <row r="561" spans="1:26" ht="12" x14ac:dyDescent="0.2">
      <c r="A561" s="1933"/>
      <c r="B561" s="1933"/>
      <c r="C561" s="1933"/>
      <c r="D561" s="1933"/>
      <c r="E561" s="1933"/>
      <c r="F561" s="1933"/>
      <c r="G561" s="1934"/>
      <c r="H561" s="1933"/>
      <c r="I561" s="1933"/>
      <c r="J561" s="1933"/>
      <c r="K561" s="1933"/>
      <c r="L561" s="1933"/>
      <c r="M561" s="1933"/>
      <c r="N561" s="1933"/>
      <c r="O561" s="1933"/>
      <c r="P561" s="1933"/>
      <c r="Q561" s="1933"/>
      <c r="R561" s="1933"/>
      <c r="S561" s="1933"/>
      <c r="T561" s="1933"/>
      <c r="U561" s="1933"/>
      <c r="V561" s="1933"/>
      <c r="W561" s="1933"/>
      <c r="X561" s="1933"/>
      <c r="Y561" s="1933"/>
      <c r="Z561" s="1933"/>
    </row>
    <row r="562" spans="1:26" ht="12" x14ac:dyDescent="0.2">
      <c r="A562" s="1933"/>
      <c r="B562" s="1933"/>
      <c r="C562" s="1933"/>
      <c r="D562" s="1933"/>
      <c r="E562" s="1933"/>
      <c r="F562" s="1933"/>
      <c r="G562" s="1934"/>
      <c r="H562" s="1933"/>
      <c r="I562" s="1933"/>
      <c r="J562" s="1933"/>
      <c r="K562" s="1933"/>
      <c r="L562" s="1933"/>
      <c r="M562" s="1933"/>
      <c r="N562" s="1933"/>
      <c r="O562" s="1933"/>
      <c r="P562" s="1933"/>
      <c r="Q562" s="1933"/>
      <c r="R562" s="1933"/>
      <c r="S562" s="1933"/>
      <c r="T562" s="1933"/>
      <c r="U562" s="1933"/>
      <c r="V562" s="1933"/>
      <c r="W562" s="1933"/>
      <c r="X562" s="1933"/>
      <c r="Y562" s="1933"/>
      <c r="Z562" s="1933"/>
    </row>
    <row r="563" spans="1:26" ht="12" x14ac:dyDescent="0.2">
      <c r="A563" s="1933"/>
      <c r="B563" s="1933"/>
      <c r="C563" s="1933"/>
      <c r="D563" s="1933"/>
      <c r="E563" s="1933"/>
      <c r="F563" s="1933"/>
      <c r="G563" s="1934"/>
      <c r="H563" s="1933"/>
      <c r="I563" s="1933"/>
      <c r="J563" s="1933"/>
      <c r="K563" s="1933"/>
      <c r="L563" s="1933"/>
      <c r="M563" s="1933"/>
      <c r="N563" s="1933"/>
      <c r="O563" s="1933"/>
      <c r="P563" s="1933"/>
      <c r="Q563" s="1933"/>
      <c r="R563" s="1933"/>
      <c r="S563" s="1933"/>
      <c r="T563" s="1933"/>
      <c r="U563" s="1933"/>
      <c r="V563" s="1933"/>
      <c r="W563" s="1933"/>
      <c r="X563" s="1933"/>
      <c r="Y563" s="1933"/>
      <c r="Z563" s="1933"/>
    </row>
    <row r="564" spans="1:26" ht="12" x14ac:dyDescent="0.2">
      <c r="A564" s="1933"/>
      <c r="B564" s="1933"/>
      <c r="C564" s="1933"/>
      <c r="D564" s="1933"/>
      <c r="E564" s="1933"/>
      <c r="F564" s="1933"/>
      <c r="G564" s="1934"/>
      <c r="H564" s="1933"/>
      <c r="I564" s="1933"/>
      <c r="J564" s="1933"/>
      <c r="K564" s="1933"/>
      <c r="L564" s="1933"/>
      <c r="M564" s="1933"/>
      <c r="N564" s="1933"/>
      <c r="O564" s="1933"/>
      <c r="P564" s="1933"/>
      <c r="Q564" s="1933"/>
      <c r="R564" s="1933"/>
      <c r="S564" s="1933"/>
      <c r="T564" s="1933"/>
      <c r="U564" s="1933"/>
      <c r="V564" s="1933"/>
      <c r="W564" s="1933"/>
      <c r="X564" s="1933"/>
      <c r="Y564" s="1933"/>
      <c r="Z564" s="1933"/>
    </row>
    <row r="565" spans="1:26" ht="12" x14ac:dyDescent="0.2">
      <c r="A565" s="1933"/>
      <c r="B565" s="1933"/>
      <c r="C565" s="1933"/>
      <c r="D565" s="1933"/>
      <c r="E565" s="1933"/>
      <c r="F565" s="1933"/>
      <c r="G565" s="1934"/>
      <c r="H565" s="1933"/>
      <c r="I565" s="1933"/>
      <c r="J565" s="1933"/>
      <c r="K565" s="1933"/>
      <c r="L565" s="1933"/>
      <c r="M565" s="1933"/>
      <c r="N565" s="1933"/>
      <c r="O565" s="1933"/>
      <c r="P565" s="1933"/>
      <c r="Q565" s="1933"/>
      <c r="R565" s="1933"/>
      <c r="S565" s="1933"/>
      <c r="T565" s="1933"/>
      <c r="U565" s="1933"/>
      <c r="V565" s="1933"/>
      <c r="W565" s="1933"/>
      <c r="X565" s="1933"/>
      <c r="Y565" s="1933"/>
      <c r="Z565" s="1933"/>
    </row>
    <row r="566" spans="1:26" ht="12" x14ac:dyDescent="0.2">
      <c r="A566" s="1933"/>
      <c r="B566" s="1933"/>
      <c r="C566" s="1933"/>
      <c r="D566" s="1933"/>
      <c r="E566" s="1933"/>
      <c r="F566" s="1933"/>
      <c r="G566" s="1934"/>
      <c r="H566" s="1933"/>
      <c r="I566" s="1933"/>
      <c r="J566" s="1933"/>
      <c r="K566" s="1933"/>
      <c r="L566" s="1933"/>
      <c r="M566" s="1933"/>
      <c r="N566" s="1933"/>
      <c r="O566" s="1933"/>
      <c r="P566" s="1933"/>
      <c r="Q566" s="1933"/>
      <c r="R566" s="1933"/>
      <c r="S566" s="1933"/>
      <c r="T566" s="1933"/>
      <c r="U566" s="1933"/>
      <c r="V566" s="1933"/>
      <c r="W566" s="1933"/>
      <c r="X566" s="1933"/>
      <c r="Y566" s="1933"/>
      <c r="Z566" s="1933"/>
    </row>
    <row r="567" spans="1:26" ht="12" x14ac:dyDescent="0.2">
      <c r="A567" s="1933"/>
      <c r="B567" s="1933"/>
      <c r="C567" s="1933"/>
      <c r="D567" s="1933"/>
      <c r="E567" s="1933"/>
      <c r="F567" s="1933"/>
      <c r="G567" s="1934"/>
      <c r="H567" s="1933"/>
      <c r="I567" s="1933"/>
      <c r="J567" s="1933"/>
      <c r="K567" s="1933"/>
      <c r="L567" s="1933"/>
      <c r="M567" s="1933"/>
      <c r="N567" s="1933"/>
      <c r="O567" s="1933"/>
      <c r="P567" s="1933"/>
      <c r="Q567" s="1933"/>
      <c r="R567" s="1933"/>
      <c r="S567" s="1933"/>
      <c r="T567" s="1933"/>
      <c r="U567" s="1933"/>
      <c r="V567" s="1933"/>
      <c r="W567" s="1933"/>
      <c r="X567" s="1933"/>
      <c r="Y567" s="1933"/>
      <c r="Z567" s="1933"/>
    </row>
    <row r="568" spans="1:26" ht="12" x14ac:dyDescent="0.2">
      <c r="A568" s="1933"/>
      <c r="B568" s="1933"/>
      <c r="C568" s="1933"/>
      <c r="D568" s="1933"/>
      <c r="E568" s="1933"/>
      <c r="F568" s="1933"/>
      <c r="G568" s="1934"/>
      <c r="H568" s="1933"/>
      <c r="I568" s="1933"/>
      <c r="J568" s="1933"/>
      <c r="K568" s="1933"/>
      <c r="L568" s="1933"/>
      <c r="M568" s="1933"/>
      <c r="N568" s="1933"/>
      <c r="O568" s="1933"/>
      <c r="P568" s="1933"/>
      <c r="Q568" s="1933"/>
      <c r="R568" s="1933"/>
      <c r="S568" s="1933"/>
      <c r="T568" s="1933"/>
      <c r="U568" s="1933"/>
      <c r="V568" s="1933"/>
      <c r="W568" s="1933"/>
      <c r="X568" s="1933"/>
      <c r="Y568" s="1933"/>
      <c r="Z568" s="1933"/>
    </row>
    <row r="569" spans="1:26" ht="12" x14ac:dyDescent="0.2">
      <c r="A569" s="1933"/>
      <c r="B569" s="1933"/>
      <c r="C569" s="1933"/>
      <c r="D569" s="1933"/>
      <c r="E569" s="1933"/>
      <c r="F569" s="1933"/>
      <c r="G569" s="1934"/>
      <c r="H569" s="1933"/>
      <c r="I569" s="1933"/>
      <c r="J569" s="1933"/>
      <c r="K569" s="1933"/>
      <c r="L569" s="1933"/>
      <c r="M569" s="1933"/>
      <c r="N569" s="1933"/>
      <c r="O569" s="1933"/>
      <c r="P569" s="1933"/>
      <c r="Q569" s="1933"/>
      <c r="R569" s="1933"/>
      <c r="S569" s="1933"/>
      <c r="T569" s="1933"/>
      <c r="U569" s="1933"/>
      <c r="V569" s="1933"/>
      <c r="W569" s="1933"/>
      <c r="X569" s="1933"/>
      <c r="Y569" s="1933"/>
      <c r="Z569" s="1933"/>
    </row>
    <row r="570" spans="1:26" ht="12" x14ac:dyDescent="0.2">
      <c r="A570" s="1933"/>
      <c r="B570" s="1933"/>
      <c r="C570" s="1933"/>
      <c r="D570" s="1933"/>
      <c r="E570" s="1933"/>
      <c r="F570" s="1933"/>
      <c r="G570" s="1934"/>
      <c r="H570" s="1933"/>
      <c r="I570" s="1933"/>
      <c r="J570" s="1933"/>
      <c r="K570" s="1933"/>
      <c r="L570" s="1933"/>
      <c r="M570" s="1933"/>
      <c r="N570" s="1933"/>
      <c r="O570" s="1933"/>
      <c r="P570" s="1933"/>
      <c r="Q570" s="1933"/>
      <c r="R570" s="1933"/>
      <c r="S570" s="1933"/>
      <c r="T570" s="1933"/>
      <c r="U570" s="1933"/>
      <c r="V570" s="1933"/>
      <c r="W570" s="1933"/>
      <c r="X570" s="1933"/>
      <c r="Y570" s="1933"/>
      <c r="Z570" s="1933"/>
    </row>
    <row r="571" spans="1:26" ht="12" x14ac:dyDescent="0.2">
      <c r="A571" s="1933"/>
      <c r="B571" s="1933"/>
      <c r="C571" s="1933"/>
      <c r="D571" s="1933"/>
      <c r="E571" s="1933"/>
      <c r="F571" s="1933"/>
      <c r="G571" s="1934"/>
      <c r="H571" s="1933"/>
      <c r="I571" s="1933"/>
      <c r="J571" s="1933"/>
      <c r="K571" s="1933"/>
      <c r="L571" s="1933"/>
      <c r="M571" s="1933"/>
      <c r="N571" s="1933"/>
      <c r="O571" s="1933"/>
      <c r="P571" s="1933"/>
      <c r="Q571" s="1933"/>
      <c r="R571" s="1933"/>
      <c r="S571" s="1933"/>
      <c r="T571" s="1933"/>
      <c r="U571" s="1933"/>
      <c r="V571" s="1933"/>
      <c r="W571" s="1933"/>
      <c r="X571" s="1933"/>
      <c r="Y571" s="1933"/>
      <c r="Z571" s="1933"/>
    </row>
    <row r="572" spans="1:26" ht="12" x14ac:dyDescent="0.2">
      <c r="A572" s="1933"/>
      <c r="B572" s="1933"/>
      <c r="C572" s="1933"/>
      <c r="D572" s="1933"/>
      <c r="E572" s="1933"/>
      <c r="F572" s="1933"/>
      <c r="G572" s="1934"/>
      <c r="H572" s="1933"/>
      <c r="I572" s="1933"/>
      <c r="J572" s="1933"/>
      <c r="K572" s="1933"/>
      <c r="L572" s="1933"/>
      <c r="M572" s="1933"/>
      <c r="N572" s="1933"/>
      <c r="O572" s="1933"/>
      <c r="P572" s="1933"/>
      <c r="Q572" s="1933"/>
      <c r="R572" s="1933"/>
      <c r="S572" s="1933"/>
      <c r="T572" s="1933"/>
      <c r="U572" s="1933"/>
      <c r="V572" s="1933"/>
      <c r="W572" s="1933"/>
      <c r="X572" s="1933"/>
      <c r="Y572" s="1933"/>
      <c r="Z572" s="1933"/>
    </row>
    <row r="573" spans="1:26" ht="12" x14ac:dyDescent="0.2">
      <c r="A573" s="1933"/>
      <c r="B573" s="1933"/>
      <c r="C573" s="1933"/>
      <c r="D573" s="1933"/>
      <c r="E573" s="1933"/>
      <c r="F573" s="1933"/>
      <c r="G573" s="1934"/>
      <c r="H573" s="1933"/>
      <c r="I573" s="1933"/>
      <c r="J573" s="1933"/>
      <c r="K573" s="1933"/>
      <c r="L573" s="1933"/>
      <c r="M573" s="1933"/>
      <c r="N573" s="1933"/>
      <c r="O573" s="1933"/>
      <c r="P573" s="1933"/>
      <c r="Q573" s="1933"/>
      <c r="R573" s="1933"/>
      <c r="S573" s="1933"/>
      <c r="T573" s="1933"/>
      <c r="U573" s="1933"/>
      <c r="V573" s="1933"/>
      <c r="W573" s="1933"/>
      <c r="X573" s="1933"/>
      <c r="Y573" s="1933"/>
      <c r="Z573" s="1933"/>
    </row>
    <row r="574" spans="1:26" ht="12" x14ac:dyDescent="0.2">
      <c r="A574" s="1933"/>
      <c r="B574" s="1933"/>
      <c r="C574" s="1933"/>
      <c r="D574" s="1933"/>
      <c r="E574" s="1933"/>
      <c r="F574" s="1933"/>
      <c r="G574" s="1934"/>
      <c r="H574" s="1933"/>
      <c r="I574" s="1933"/>
      <c r="J574" s="1933"/>
      <c r="K574" s="1933"/>
      <c r="L574" s="1933"/>
      <c r="M574" s="1933"/>
      <c r="N574" s="1933"/>
      <c r="O574" s="1933"/>
      <c r="P574" s="1933"/>
      <c r="Q574" s="1933"/>
      <c r="R574" s="1933"/>
      <c r="S574" s="1933"/>
      <c r="T574" s="1933"/>
      <c r="U574" s="1933"/>
      <c r="V574" s="1933"/>
      <c r="W574" s="1933"/>
      <c r="X574" s="1933"/>
      <c r="Y574" s="1933"/>
      <c r="Z574" s="1933"/>
    </row>
    <row r="575" spans="1:26" ht="12" x14ac:dyDescent="0.2">
      <c r="A575" s="1933"/>
      <c r="B575" s="1933"/>
      <c r="C575" s="1933"/>
      <c r="D575" s="1933"/>
      <c r="E575" s="1933"/>
      <c r="F575" s="1933"/>
      <c r="G575" s="1934"/>
      <c r="H575" s="1933"/>
      <c r="I575" s="1933"/>
      <c r="J575" s="1933"/>
      <c r="K575" s="1933"/>
      <c r="L575" s="1933"/>
      <c r="M575" s="1933"/>
      <c r="N575" s="1933"/>
      <c r="O575" s="1933"/>
      <c r="P575" s="1933"/>
      <c r="Q575" s="1933"/>
      <c r="R575" s="1933"/>
      <c r="S575" s="1933"/>
      <c r="T575" s="1933"/>
      <c r="U575" s="1933"/>
      <c r="V575" s="1933"/>
      <c r="W575" s="1933"/>
      <c r="X575" s="1933"/>
      <c r="Y575" s="1933"/>
      <c r="Z575" s="1933"/>
    </row>
    <row r="576" spans="1:26" ht="12" x14ac:dyDescent="0.2">
      <c r="A576" s="1933"/>
      <c r="B576" s="1933"/>
      <c r="C576" s="1933"/>
      <c r="D576" s="1933"/>
      <c r="E576" s="1933"/>
      <c r="F576" s="1933"/>
      <c r="G576" s="1934"/>
      <c r="H576" s="1933"/>
      <c r="I576" s="1933"/>
      <c r="J576" s="1933"/>
      <c r="K576" s="1933"/>
      <c r="L576" s="1933"/>
      <c r="M576" s="1933"/>
      <c r="N576" s="1933"/>
      <c r="O576" s="1933"/>
      <c r="P576" s="1933"/>
      <c r="Q576" s="1933"/>
      <c r="R576" s="1933"/>
      <c r="S576" s="1933"/>
      <c r="T576" s="1933"/>
      <c r="U576" s="1933"/>
      <c r="V576" s="1933"/>
      <c r="W576" s="1933"/>
      <c r="X576" s="1933"/>
      <c r="Y576" s="1933"/>
      <c r="Z576" s="1933"/>
    </row>
    <row r="577" spans="1:26" ht="12" x14ac:dyDescent="0.2">
      <c r="A577" s="1933"/>
      <c r="B577" s="1933"/>
      <c r="C577" s="1933"/>
      <c r="D577" s="1933"/>
      <c r="E577" s="1933"/>
      <c r="F577" s="1933"/>
      <c r="G577" s="1934"/>
      <c r="H577" s="1933"/>
      <c r="I577" s="1933"/>
      <c r="J577" s="1933"/>
      <c r="K577" s="1933"/>
      <c r="L577" s="1933"/>
      <c r="M577" s="1933"/>
      <c r="N577" s="1933"/>
      <c r="O577" s="1933"/>
      <c r="P577" s="1933"/>
      <c r="Q577" s="1933"/>
      <c r="R577" s="1933"/>
      <c r="S577" s="1933"/>
      <c r="T577" s="1933"/>
      <c r="U577" s="1933"/>
      <c r="V577" s="1933"/>
      <c r="W577" s="1933"/>
      <c r="X577" s="1933"/>
      <c r="Y577" s="1933"/>
      <c r="Z577" s="1933"/>
    </row>
    <row r="578" spans="1:26" ht="12" x14ac:dyDescent="0.2">
      <c r="A578" s="1933"/>
      <c r="B578" s="1933"/>
      <c r="C578" s="1933"/>
      <c r="D578" s="1933"/>
      <c r="E578" s="1933"/>
      <c r="F578" s="1933"/>
      <c r="G578" s="1934"/>
      <c r="H578" s="1933"/>
      <c r="I578" s="1933"/>
      <c r="J578" s="1933"/>
      <c r="K578" s="1933"/>
      <c r="L578" s="1933"/>
      <c r="M578" s="1933"/>
      <c r="N578" s="1933"/>
      <c r="O578" s="1933"/>
      <c r="P578" s="1933"/>
      <c r="Q578" s="1933"/>
      <c r="R578" s="1933"/>
      <c r="S578" s="1933"/>
      <c r="T578" s="1933"/>
      <c r="U578" s="1933"/>
      <c r="V578" s="1933"/>
      <c r="W578" s="1933"/>
      <c r="X578" s="1933"/>
      <c r="Y578" s="1933"/>
      <c r="Z578" s="1933"/>
    </row>
    <row r="579" spans="1:26" ht="12" x14ac:dyDescent="0.2">
      <c r="A579" s="1933"/>
      <c r="B579" s="1933"/>
      <c r="C579" s="1933"/>
      <c r="D579" s="1933"/>
      <c r="E579" s="1933"/>
      <c r="F579" s="1933"/>
      <c r="G579" s="1934"/>
      <c r="H579" s="1933"/>
      <c r="I579" s="1933"/>
      <c r="J579" s="1933"/>
      <c r="K579" s="1933"/>
      <c r="L579" s="1933"/>
      <c r="M579" s="1933"/>
      <c r="N579" s="1933"/>
      <c r="O579" s="1933"/>
      <c r="P579" s="1933"/>
      <c r="Q579" s="1933"/>
      <c r="R579" s="1933"/>
      <c r="S579" s="1933"/>
      <c r="T579" s="1933"/>
      <c r="U579" s="1933"/>
      <c r="V579" s="1933"/>
      <c r="W579" s="1933"/>
      <c r="X579" s="1933"/>
      <c r="Y579" s="1933"/>
      <c r="Z579" s="1933"/>
    </row>
    <row r="580" spans="1:26" ht="12" x14ac:dyDescent="0.2">
      <c r="A580" s="1933"/>
      <c r="B580" s="1933"/>
      <c r="C580" s="1933"/>
      <c r="D580" s="1933"/>
      <c r="E580" s="1933"/>
      <c r="F580" s="1933"/>
      <c r="G580" s="1934"/>
      <c r="H580" s="1933"/>
      <c r="I580" s="1933"/>
      <c r="J580" s="1933"/>
      <c r="K580" s="1933"/>
      <c r="L580" s="1933"/>
      <c r="M580" s="1933"/>
      <c r="N580" s="1933"/>
      <c r="O580" s="1933"/>
      <c r="P580" s="1933"/>
      <c r="Q580" s="1933"/>
      <c r="R580" s="1933"/>
      <c r="S580" s="1933"/>
      <c r="T580" s="1933"/>
      <c r="U580" s="1933"/>
      <c r="V580" s="1933"/>
      <c r="W580" s="1933"/>
      <c r="X580" s="1933"/>
      <c r="Y580" s="1933"/>
      <c r="Z580" s="1933"/>
    </row>
    <row r="581" spans="1:26" ht="12" x14ac:dyDescent="0.2">
      <c r="A581" s="1933"/>
      <c r="B581" s="1933"/>
      <c r="C581" s="1933"/>
      <c r="D581" s="1933"/>
      <c r="E581" s="1933"/>
      <c r="F581" s="1933"/>
      <c r="G581" s="1934"/>
      <c r="H581" s="1933"/>
      <c r="I581" s="1933"/>
      <c r="J581" s="1933"/>
      <c r="K581" s="1933"/>
      <c r="L581" s="1933"/>
      <c r="M581" s="1933"/>
      <c r="N581" s="1933"/>
      <c r="O581" s="1933"/>
      <c r="P581" s="1933"/>
      <c r="Q581" s="1933"/>
      <c r="R581" s="1933"/>
      <c r="S581" s="1933"/>
      <c r="T581" s="1933"/>
      <c r="U581" s="1933"/>
      <c r="V581" s="1933"/>
      <c r="W581" s="1933"/>
      <c r="X581" s="1933"/>
      <c r="Y581" s="1933"/>
      <c r="Z581" s="1933"/>
    </row>
    <row r="582" spans="1:26" ht="12" x14ac:dyDescent="0.2">
      <c r="A582" s="1933"/>
      <c r="B582" s="1933"/>
      <c r="C582" s="1933"/>
      <c r="D582" s="1933"/>
      <c r="E582" s="1933"/>
      <c r="F582" s="1933"/>
      <c r="G582" s="1934"/>
      <c r="H582" s="1933"/>
      <c r="I582" s="1933"/>
      <c r="J582" s="1933"/>
      <c r="K582" s="1933"/>
      <c r="L582" s="1933"/>
      <c r="M582" s="1933"/>
      <c r="N582" s="1933"/>
      <c r="O582" s="1933"/>
      <c r="P582" s="1933"/>
      <c r="Q582" s="1933"/>
      <c r="R582" s="1933"/>
      <c r="S582" s="1933"/>
      <c r="T582" s="1933"/>
      <c r="U582" s="1933"/>
      <c r="V582" s="1933"/>
      <c r="W582" s="1933"/>
      <c r="X582" s="1933"/>
      <c r="Y582" s="1933"/>
      <c r="Z582" s="1933"/>
    </row>
    <row r="583" spans="1:26" ht="12" x14ac:dyDescent="0.2">
      <c r="A583" s="1933"/>
      <c r="B583" s="1933"/>
      <c r="C583" s="1933"/>
      <c r="D583" s="1933"/>
      <c r="E583" s="1933"/>
      <c r="F583" s="1933"/>
      <c r="G583" s="1934"/>
      <c r="H583" s="1933"/>
      <c r="I583" s="1933"/>
      <c r="J583" s="1933"/>
      <c r="K583" s="1933"/>
      <c r="L583" s="1933"/>
      <c r="M583" s="1933"/>
      <c r="N583" s="1933"/>
      <c r="O583" s="1933"/>
      <c r="P583" s="1933"/>
      <c r="Q583" s="1933"/>
      <c r="R583" s="1933"/>
      <c r="S583" s="1933"/>
      <c r="T583" s="1933"/>
      <c r="U583" s="1933"/>
      <c r="V583" s="1933"/>
      <c r="W583" s="1933"/>
      <c r="X583" s="1933"/>
      <c r="Y583" s="1933"/>
      <c r="Z583" s="1933"/>
    </row>
    <row r="584" spans="1:26" ht="12" x14ac:dyDescent="0.2">
      <c r="A584" s="1933"/>
      <c r="B584" s="1933"/>
      <c r="C584" s="1933"/>
      <c r="D584" s="1933"/>
      <c r="E584" s="1933"/>
      <c r="F584" s="1933"/>
      <c r="G584" s="1934"/>
      <c r="H584" s="1933"/>
      <c r="I584" s="1933"/>
      <c r="J584" s="1933"/>
      <c r="K584" s="1933"/>
      <c r="L584" s="1933"/>
      <c r="M584" s="1933"/>
      <c r="N584" s="1933"/>
      <c r="O584" s="1933"/>
      <c r="P584" s="1933"/>
      <c r="Q584" s="1933"/>
      <c r="R584" s="1933"/>
      <c r="S584" s="1933"/>
      <c r="T584" s="1933"/>
      <c r="U584" s="1933"/>
      <c r="V584" s="1933"/>
      <c r="W584" s="1933"/>
      <c r="X584" s="1933"/>
      <c r="Y584" s="1933"/>
      <c r="Z584" s="1933"/>
    </row>
    <row r="585" spans="1:26" ht="12" x14ac:dyDescent="0.2">
      <c r="A585" s="1933"/>
      <c r="B585" s="1933"/>
      <c r="C585" s="1933"/>
      <c r="D585" s="1933"/>
      <c r="E585" s="1933"/>
      <c r="F585" s="1933"/>
      <c r="G585" s="1934"/>
      <c r="H585" s="1933"/>
      <c r="I585" s="1933"/>
      <c r="J585" s="1933"/>
      <c r="K585" s="1933"/>
      <c r="L585" s="1933"/>
      <c r="M585" s="1933"/>
      <c r="N585" s="1933"/>
      <c r="O585" s="1933"/>
      <c r="P585" s="1933"/>
      <c r="Q585" s="1933"/>
      <c r="R585" s="1933"/>
      <c r="S585" s="1933"/>
      <c r="T585" s="1933"/>
      <c r="U585" s="1933"/>
      <c r="V585" s="1933"/>
      <c r="W585" s="1933"/>
      <c r="X585" s="1933"/>
      <c r="Y585" s="1933"/>
      <c r="Z585" s="1933"/>
    </row>
    <row r="586" spans="1:26" ht="12" x14ac:dyDescent="0.2">
      <c r="A586" s="1933"/>
      <c r="B586" s="1933"/>
      <c r="C586" s="1933"/>
      <c r="D586" s="1933"/>
      <c r="E586" s="1933"/>
      <c r="F586" s="1933"/>
      <c r="G586" s="1934"/>
      <c r="H586" s="1933"/>
      <c r="I586" s="1933"/>
      <c r="J586" s="1933"/>
      <c r="K586" s="1933"/>
      <c r="L586" s="1933"/>
      <c r="M586" s="1933"/>
      <c r="N586" s="1933"/>
      <c r="O586" s="1933"/>
      <c r="P586" s="1933"/>
      <c r="Q586" s="1933"/>
      <c r="R586" s="1933"/>
      <c r="S586" s="1933"/>
      <c r="T586" s="1933"/>
      <c r="U586" s="1933"/>
      <c r="V586" s="1933"/>
      <c r="W586" s="1933"/>
      <c r="X586" s="1933"/>
      <c r="Y586" s="1933"/>
      <c r="Z586" s="1933"/>
    </row>
    <row r="587" spans="1:26" ht="12" x14ac:dyDescent="0.2">
      <c r="A587" s="1933"/>
      <c r="B587" s="1933"/>
      <c r="C587" s="1933"/>
      <c r="D587" s="1933"/>
      <c r="E587" s="1933"/>
      <c r="F587" s="1933"/>
      <c r="G587" s="1934"/>
      <c r="H587" s="1933"/>
      <c r="I587" s="1933"/>
      <c r="J587" s="1933"/>
      <c r="K587" s="1933"/>
      <c r="L587" s="1933"/>
      <c r="M587" s="1933"/>
      <c r="N587" s="1933"/>
      <c r="O587" s="1933"/>
      <c r="P587" s="1933"/>
      <c r="Q587" s="1933"/>
      <c r="R587" s="1933"/>
      <c r="S587" s="1933"/>
      <c r="T587" s="1933"/>
      <c r="U587" s="1933"/>
      <c r="V587" s="1933"/>
      <c r="W587" s="1933"/>
      <c r="X587" s="1933"/>
      <c r="Y587" s="1933"/>
      <c r="Z587" s="1933"/>
    </row>
    <row r="588" spans="1:26" ht="12" x14ac:dyDescent="0.2">
      <c r="A588" s="1933"/>
      <c r="B588" s="1933"/>
      <c r="C588" s="1933"/>
      <c r="D588" s="1933"/>
      <c r="E588" s="1933"/>
      <c r="F588" s="1933"/>
      <c r="G588" s="1934"/>
      <c r="H588" s="1933"/>
      <c r="I588" s="1933"/>
      <c r="J588" s="1933"/>
      <c r="K588" s="1933"/>
      <c r="L588" s="1933"/>
      <c r="M588" s="1933"/>
      <c r="N588" s="1933"/>
      <c r="O588" s="1933"/>
      <c r="P588" s="1933"/>
      <c r="Q588" s="1933"/>
      <c r="R588" s="1933"/>
      <c r="S588" s="1933"/>
      <c r="T588" s="1933"/>
      <c r="U588" s="1933"/>
      <c r="V588" s="1933"/>
      <c r="W588" s="1933"/>
      <c r="X588" s="1933"/>
      <c r="Y588" s="1933"/>
      <c r="Z588" s="1933"/>
    </row>
    <row r="589" spans="1:26" ht="12" x14ac:dyDescent="0.2">
      <c r="A589" s="1933"/>
      <c r="B589" s="1933"/>
      <c r="C589" s="1933"/>
      <c r="D589" s="1933"/>
      <c r="E589" s="1933"/>
      <c r="F589" s="1933"/>
      <c r="G589" s="1934"/>
      <c r="H589" s="1933"/>
      <c r="I589" s="1933"/>
      <c r="J589" s="1933"/>
      <c r="K589" s="1933"/>
      <c r="L589" s="1933"/>
      <c r="M589" s="1933"/>
      <c r="N589" s="1933"/>
      <c r="O589" s="1933"/>
      <c r="P589" s="1933"/>
      <c r="Q589" s="1933"/>
      <c r="R589" s="1933"/>
      <c r="S589" s="1933"/>
      <c r="T589" s="1933"/>
      <c r="U589" s="1933"/>
      <c r="V589" s="1933"/>
      <c r="W589" s="1933"/>
      <c r="X589" s="1933"/>
      <c r="Y589" s="1933"/>
      <c r="Z589" s="1933"/>
    </row>
    <row r="590" spans="1:26" ht="12" x14ac:dyDescent="0.2">
      <c r="A590" s="1933"/>
      <c r="B590" s="1933"/>
      <c r="C590" s="1933"/>
      <c r="D590" s="1933"/>
      <c r="E590" s="1933"/>
      <c r="F590" s="1933"/>
      <c r="G590" s="1934"/>
      <c r="H590" s="1933"/>
      <c r="I590" s="1933"/>
      <c r="J590" s="1933"/>
      <c r="K590" s="1933"/>
      <c r="L590" s="1933"/>
      <c r="M590" s="1933"/>
      <c r="N590" s="1933"/>
      <c r="O590" s="1933"/>
      <c r="P590" s="1933"/>
      <c r="Q590" s="1933"/>
      <c r="R590" s="1933"/>
      <c r="S590" s="1933"/>
      <c r="T590" s="1933"/>
      <c r="U590" s="1933"/>
      <c r="V590" s="1933"/>
      <c r="W590" s="1933"/>
      <c r="X590" s="1933"/>
      <c r="Y590" s="1933"/>
      <c r="Z590" s="1933"/>
    </row>
    <row r="591" spans="1:26" ht="12" x14ac:dyDescent="0.2">
      <c r="A591" s="1933"/>
      <c r="B591" s="1933"/>
      <c r="C591" s="1933"/>
      <c r="D591" s="1933"/>
      <c r="E591" s="1933"/>
      <c r="F591" s="1933"/>
      <c r="G591" s="1934"/>
      <c r="H591" s="1933"/>
      <c r="I591" s="1933"/>
      <c r="J591" s="1933"/>
      <c r="K591" s="1933"/>
      <c r="L591" s="1933"/>
      <c r="M591" s="1933"/>
      <c r="N591" s="1933"/>
      <c r="O591" s="1933"/>
      <c r="P591" s="1933"/>
      <c r="Q591" s="1933"/>
      <c r="R591" s="1933"/>
      <c r="S591" s="1933"/>
      <c r="T591" s="1933"/>
      <c r="U591" s="1933"/>
      <c r="V591" s="1933"/>
      <c r="W591" s="1933"/>
      <c r="X591" s="1933"/>
      <c r="Y591" s="1933"/>
      <c r="Z591" s="1933"/>
    </row>
    <row r="592" spans="1:26" ht="12" x14ac:dyDescent="0.2">
      <c r="A592" s="1933"/>
      <c r="B592" s="1933"/>
      <c r="C592" s="1933"/>
      <c r="D592" s="1933"/>
      <c r="E592" s="1933"/>
      <c r="F592" s="1933"/>
      <c r="G592" s="1934"/>
      <c r="H592" s="1933"/>
      <c r="I592" s="1933"/>
      <c r="J592" s="1933"/>
      <c r="K592" s="1933"/>
      <c r="L592" s="1933"/>
      <c r="M592" s="1933"/>
      <c r="N592" s="1933"/>
      <c r="O592" s="1933"/>
      <c r="P592" s="1933"/>
      <c r="Q592" s="1933"/>
      <c r="R592" s="1933"/>
      <c r="S592" s="1933"/>
      <c r="T592" s="1933"/>
      <c r="U592" s="1933"/>
      <c r="V592" s="1933"/>
      <c r="W592" s="1933"/>
      <c r="X592" s="1933"/>
      <c r="Y592" s="1933"/>
      <c r="Z592" s="1933"/>
    </row>
    <row r="593" spans="1:26" ht="12" x14ac:dyDescent="0.2">
      <c r="A593" s="1933"/>
      <c r="B593" s="1933"/>
      <c r="C593" s="1933"/>
      <c r="D593" s="1933"/>
      <c r="E593" s="1933"/>
      <c r="F593" s="1933"/>
      <c r="G593" s="1934"/>
      <c r="H593" s="1933"/>
      <c r="I593" s="1933"/>
      <c r="J593" s="1933"/>
      <c r="K593" s="1933"/>
      <c r="L593" s="1933"/>
      <c r="M593" s="1933"/>
      <c r="N593" s="1933"/>
      <c r="O593" s="1933"/>
      <c r="P593" s="1933"/>
      <c r="Q593" s="1933"/>
      <c r="R593" s="1933"/>
      <c r="S593" s="1933"/>
      <c r="T593" s="1933"/>
      <c r="U593" s="1933"/>
      <c r="V593" s="1933"/>
      <c r="W593" s="1933"/>
      <c r="X593" s="1933"/>
      <c r="Y593" s="1933"/>
      <c r="Z593" s="1933"/>
    </row>
    <row r="594" spans="1:26" ht="12" x14ac:dyDescent="0.2">
      <c r="A594" s="1933"/>
      <c r="B594" s="1933"/>
      <c r="C594" s="1933"/>
      <c r="D594" s="1933"/>
      <c r="E594" s="1933"/>
      <c r="F594" s="1933"/>
      <c r="G594" s="1934"/>
      <c r="H594" s="1933"/>
      <c r="I594" s="1933"/>
      <c r="J594" s="1933"/>
      <c r="K594" s="1933"/>
      <c r="L594" s="1933"/>
      <c r="M594" s="1933"/>
      <c r="N594" s="1933"/>
      <c r="O594" s="1933"/>
      <c r="P594" s="1933"/>
      <c r="Q594" s="1933"/>
      <c r="R594" s="1933"/>
      <c r="S594" s="1933"/>
      <c r="T594" s="1933"/>
      <c r="U594" s="1933"/>
      <c r="V594" s="1933"/>
      <c r="W594" s="1933"/>
      <c r="X594" s="1933"/>
      <c r="Y594" s="1933"/>
      <c r="Z594" s="1933"/>
    </row>
    <row r="595" spans="1:26" ht="12" x14ac:dyDescent="0.2">
      <c r="A595" s="1933"/>
      <c r="B595" s="1933"/>
      <c r="C595" s="1933"/>
      <c r="D595" s="1933"/>
      <c r="E595" s="1933"/>
      <c r="F595" s="1933"/>
      <c r="G595" s="1934"/>
      <c r="H595" s="1933"/>
      <c r="I595" s="1933"/>
      <c r="J595" s="1933"/>
      <c r="K595" s="1933"/>
      <c r="L595" s="1933"/>
      <c r="M595" s="1933"/>
      <c r="N595" s="1933"/>
      <c r="O595" s="1933"/>
      <c r="P595" s="1933"/>
      <c r="Q595" s="1933"/>
      <c r="R595" s="1933"/>
      <c r="S595" s="1933"/>
      <c r="T595" s="1933"/>
      <c r="U595" s="1933"/>
      <c r="V595" s="1933"/>
      <c r="W595" s="1933"/>
      <c r="X595" s="1933"/>
      <c r="Y595" s="1933"/>
      <c r="Z595" s="1933"/>
    </row>
    <row r="596" spans="1:26" ht="12" x14ac:dyDescent="0.2">
      <c r="A596" s="1933"/>
      <c r="B596" s="1933"/>
      <c r="C596" s="1933"/>
      <c r="D596" s="1933"/>
      <c r="E596" s="1933"/>
      <c r="F596" s="1933"/>
      <c r="G596" s="1934"/>
      <c r="H596" s="1933"/>
      <c r="I596" s="1933"/>
      <c r="J596" s="1933"/>
      <c r="K596" s="1933"/>
      <c r="L596" s="1933"/>
      <c r="M596" s="1933"/>
      <c r="N596" s="1933"/>
      <c r="O596" s="1933"/>
      <c r="P596" s="1933"/>
      <c r="Q596" s="1933"/>
      <c r="R596" s="1933"/>
      <c r="S596" s="1933"/>
      <c r="T596" s="1933"/>
      <c r="U596" s="1933"/>
      <c r="V596" s="1933"/>
      <c r="W596" s="1933"/>
      <c r="X596" s="1933"/>
      <c r="Y596" s="1933"/>
      <c r="Z596" s="1933"/>
    </row>
    <row r="597" spans="1:26" ht="12" x14ac:dyDescent="0.2">
      <c r="A597" s="1933"/>
      <c r="B597" s="1933"/>
      <c r="C597" s="1933"/>
      <c r="D597" s="1933"/>
      <c r="E597" s="1933"/>
      <c r="F597" s="1933"/>
      <c r="G597" s="1934"/>
      <c r="H597" s="1933"/>
      <c r="I597" s="1933"/>
      <c r="J597" s="1933"/>
      <c r="K597" s="1933"/>
      <c r="L597" s="1933"/>
      <c r="M597" s="1933"/>
      <c r="N597" s="1933"/>
      <c r="O597" s="1933"/>
      <c r="P597" s="1933"/>
      <c r="Q597" s="1933"/>
      <c r="R597" s="1933"/>
      <c r="S597" s="1933"/>
      <c r="T597" s="1933"/>
      <c r="U597" s="1933"/>
      <c r="V597" s="1933"/>
      <c r="W597" s="1933"/>
      <c r="X597" s="1933"/>
      <c r="Y597" s="1933"/>
      <c r="Z597" s="1933"/>
    </row>
    <row r="598" spans="1:26" ht="12" x14ac:dyDescent="0.2">
      <c r="A598" s="1933"/>
      <c r="B598" s="1933"/>
      <c r="C598" s="1933"/>
      <c r="D598" s="1933"/>
      <c r="E598" s="1933"/>
      <c r="F598" s="1933"/>
      <c r="G598" s="1934"/>
      <c r="H598" s="1933"/>
      <c r="I598" s="1933"/>
      <c r="J598" s="1933"/>
      <c r="K598" s="1933"/>
      <c r="L598" s="1933"/>
      <c r="M598" s="1933"/>
      <c r="N598" s="1933"/>
      <c r="O598" s="1933"/>
      <c r="P598" s="1933"/>
      <c r="Q598" s="1933"/>
      <c r="R598" s="1933"/>
      <c r="S598" s="1933"/>
      <c r="T598" s="1933"/>
      <c r="U598" s="1933"/>
      <c r="V598" s="1933"/>
      <c r="W598" s="1933"/>
      <c r="X598" s="1933"/>
      <c r="Y598" s="1933"/>
      <c r="Z598" s="1933"/>
    </row>
    <row r="599" spans="1:26" ht="12" x14ac:dyDescent="0.2">
      <c r="A599" s="1933"/>
      <c r="B599" s="1933"/>
      <c r="C599" s="1933"/>
      <c r="D599" s="1933"/>
      <c r="E599" s="1933"/>
      <c r="F599" s="1933"/>
      <c r="G599" s="1934"/>
      <c r="H599" s="1933"/>
      <c r="I599" s="1933"/>
      <c r="J599" s="1933"/>
      <c r="K599" s="1933"/>
      <c r="L599" s="1933"/>
      <c r="M599" s="1933"/>
      <c r="N599" s="1933"/>
      <c r="O599" s="1933"/>
      <c r="P599" s="1933"/>
      <c r="Q599" s="1933"/>
      <c r="R599" s="1933"/>
      <c r="S599" s="1933"/>
      <c r="T599" s="1933"/>
      <c r="U599" s="1933"/>
      <c r="V599" s="1933"/>
      <c r="W599" s="1933"/>
      <c r="X599" s="1933"/>
      <c r="Y599" s="1933"/>
      <c r="Z599" s="1933"/>
    </row>
    <row r="600" spans="1:26" ht="12" x14ac:dyDescent="0.2">
      <c r="A600" s="1933"/>
      <c r="B600" s="1933"/>
      <c r="C600" s="1933"/>
      <c r="D600" s="1933"/>
      <c r="E600" s="1933"/>
      <c r="F600" s="1933"/>
      <c r="G600" s="1934"/>
      <c r="H600" s="1933"/>
      <c r="I600" s="1933"/>
      <c r="J600" s="1933"/>
      <c r="K600" s="1933"/>
      <c r="L600" s="1933"/>
      <c r="M600" s="1933"/>
      <c r="N600" s="1933"/>
      <c r="O600" s="1933"/>
      <c r="P600" s="1933"/>
      <c r="Q600" s="1933"/>
      <c r="R600" s="1933"/>
      <c r="S600" s="1933"/>
      <c r="T600" s="1933"/>
      <c r="U600" s="1933"/>
      <c r="V600" s="1933"/>
      <c r="W600" s="1933"/>
      <c r="X600" s="1933"/>
      <c r="Y600" s="1933"/>
      <c r="Z600" s="1933"/>
    </row>
    <row r="601" spans="1:26" ht="12" x14ac:dyDescent="0.2">
      <c r="A601" s="1933"/>
      <c r="B601" s="1933"/>
      <c r="C601" s="1933"/>
      <c r="D601" s="1933"/>
      <c r="E601" s="1933"/>
      <c r="F601" s="1933"/>
      <c r="G601" s="1934"/>
      <c r="H601" s="1933"/>
      <c r="I601" s="1933"/>
      <c r="J601" s="1933"/>
      <c r="K601" s="1933"/>
      <c r="L601" s="1933"/>
      <c r="M601" s="1933"/>
      <c r="N601" s="1933"/>
      <c r="O601" s="1933"/>
      <c r="P601" s="1933"/>
      <c r="Q601" s="1933"/>
      <c r="R601" s="1933"/>
      <c r="S601" s="1933"/>
      <c r="T601" s="1933"/>
      <c r="U601" s="1933"/>
      <c r="V601" s="1933"/>
      <c r="W601" s="1933"/>
      <c r="X601" s="1933"/>
      <c r="Y601" s="1933"/>
      <c r="Z601" s="1933"/>
    </row>
    <row r="602" spans="1:26" ht="12" x14ac:dyDescent="0.2">
      <c r="A602" s="1933"/>
      <c r="B602" s="1933"/>
      <c r="C602" s="1933"/>
      <c r="D602" s="1933"/>
      <c r="E602" s="1933"/>
      <c r="F602" s="1933"/>
      <c r="G602" s="1934"/>
      <c r="H602" s="1933"/>
      <c r="I602" s="1933"/>
      <c r="J602" s="1933"/>
      <c r="K602" s="1933"/>
      <c r="L602" s="1933"/>
      <c r="M602" s="1933"/>
      <c r="N602" s="1933"/>
      <c r="O602" s="1933"/>
      <c r="P602" s="1933"/>
      <c r="Q602" s="1933"/>
      <c r="R602" s="1933"/>
      <c r="S602" s="1933"/>
      <c r="T602" s="1933"/>
      <c r="U602" s="1933"/>
      <c r="V602" s="1933"/>
      <c r="W602" s="1933"/>
      <c r="X602" s="1933"/>
      <c r="Y602" s="1933"/>
      <c r="Z602" s="1933"/>
    </row>
    <row r="603" spans="1:26" ht="12" x14ac:dyDescent="0.2">
      <c r="A603" s="1933"/>
      <c r="B603" s="1933"/>
      <c r="C603" s="1933"/>
      <c r="D603" s="1933"/>
      <c r="E603" s="1933"/>
      <c r="F603" s="1933"/>
      <c r="G603" s="1934"/>
      <c r="H603" s="1933"/>
      <c r="I603" s="1933"/>
      <c r="J603" s="1933"/>
      <c r="K603" s="1933"/>
      <c r="L603" s="1933"/>
      <c r="M603" s="1933"/>
      <c r="N603" s="1933"/>
      <c r="O603" s="1933"/>
      <c r="P603" s="1933"/>
      <c r="Q603" s="1933"/>
      <c r="R603" s="1933"/>
      <c r="S603" s="1933"/>
      <c r="T603" s="1933"/>
      <c r="U603" s="1933"/>
      <c r="V603" s="1933"/>
      <c r="W603" s="1933"/>
      <c r="X603" s="1933"/>
      <c r="Y603" s="1933"/>
      <c r="Z603" s="1933"/>
    </row>
    <row r="604" spans="1:26" ht="12" x14ac:dyDescent="0.2">
      <c r="A604" s="1933"/>
      <c r="B604" s="1933"/>
      <c r="C604" s="1933"/>
      <c r="D604" s="1933"/>
      <c r="E604" s="1933"/>
      <c r="F604" s="1933"/>
      <c r="G604" s="1934"/>
      <c r="H604" s="1933"/>
      <c r="I604" s="1933"/>
      <c r="J604" s="1933"/>
      <c r="K604" s="1933"/>
      <c r="L604" s="1933"/>
      <c r="M604" s="1933"/>
      <c r="N604" s="1933"/>
      <c r="O604" s="1933"/>
      <c r="P604" s="1933"/>
      <c r="Q604" s="1933"/>
      <c r="R604" s="1933"/>
      <c r="S604" s="1933"/>
      <c r="T604" s="1933"/>
      <c r="U604" s="1933"/>
      <c r="V604" s="1933"/>
      <c r="W604" s="1933"/>
      <c r="X604" s="1933"/>
      <c r="Y604" s="1933"/>
      <c r="Z604" s="1933"/>
    </row>
    <row r="605" spans="1:26" ht="12" x14ac:dyDescent="0.2">
      <c r="A605" s="1933"/>
      <c r="B605" s="1933"/>
      <c r="C605" s="1933"/>
      <c r="D605" s="1933"/>
      <c r="E605" s="1933"/>
      <c r="F605" s="1933"/>
      <c r="G605" s="1934"/>
      <c r="H605" s="1933"/>
      <c r="I605" s="1933"/>
      <c r="J605" s="1933"/>
      <c r="K605" s="1933"/>
      <c r="L605" s="1933"/>
      <c r="M605" s="1933"/>
      <c r="N605" s="1933"/>
      <c r="O605" s="1933"/>
      <c r="P605" s="1933"/>
      <c r="Q605" s="1933"/>
      <c r="R605" s="1933"/>
      <c r="S605" s="1933"/>
      <c r="T605" s="1933"/>
      <c r="U605" s="1933"/>
      <c r="V605" s="1933"/>
      <c r="W605" s="1933"/>
      <c r="X605" s="1933"/>
      <c r="Y605" s="1933"/>
      <c r="Z605" s="1933"/>
    </row>
    <row r="606" spans="1:26" ht="12" x14ac:dyDescent="0.2">
      <c r="A606" s="1933"/>
      <c r="B606" s="1933"/>
      <c r="C606" s="1933"/>
      <c r="D606" s="1933"/>
      <c r="E606" s="1933"/>
      <c r="F606" s="1933"/>
      <c r="G606" s="1934"/>
      <c r="H606" s="1933"/>
      <c r="I606" s="1933"/>
      <c r="J606" s="1933"/>
      <c r="K606" s="1933"/>
      <c r="L606" s="1933"/>
      <c r="M606" s="1933"/>
      <c r="N606" s="1933"/>
      <c r="O606" s="1933"/>
      <c r="P606" s="1933"/>
      <c r="Q606" s="1933"/>
      <c r="R606" s="1933"/>
      <c r="S606" s="1933"/>
      <c r="T606" s="1933"/>
      <c r="U606" s="1933"/>
      <c r="V606" s="1933"/>
      <c r="W606" s="1933"/>
      <c r="X606" s="1933"/>
      <c r="Y606" s="1933"/>
      <c r="Z606" s="1933"/>
    </row>
    <row r="607" spans="1:26" ht="12" x14ac:dyDescent="0.2">
      <c r="A607" s="1933"/>
      <c r="B607" s="1933"/>
      <c r="C607" s="1933"/>
      <c r="D607" s="1933"/>
      <c r="E607" s="1933"/>
      <c r="F607" s="1933"/>
      <c r="G607" s="1934"/>
      <c r="H607" s="1933"/>
      <c r="I607" s="1933"/>
      <c r="J607" s="1933"/>
      <c r="K607" s="1933"/>
      <c r="L607" s="1933"/>
      <c r="M607" s="1933"/>
      <c r="N607" s="1933"/>
      <c r="O607" s="1933"/>
      <c r="P607" s="1933"/>
      <c r="Q607" s="1933"/>
      <c r="R607" s="1933"/>
      <c r="S607" s="1933"/>
      <c r="T607" s="1933"/>
      <c r="U607" s="1933"/>
      <c r="V607" s="1933"/>
      <c r="W607" s="1933"/>
      <c r="X607" s="1933"/>
      <c r="Y607" s="1933"/>
      <c r="Z607" s="1933"/>
    </row>
    <row r="608" spans="1:26" ht="12" x14ac:dyDescent="0.2">
      <c r="A608" s="1933"/>
      <c r="B608" s="1933"/>
      <c r="C608" s="1933"/>
      <c r="D608" s="1933"/>
      <c r="E608" s="1933"/>
      <c r="F608" s="1933"/>
      <c r="G608" s="1934"/>
      <c r="H608" s="1933"/>
      <c r="I608" s="1933"/>
      <c r="J608" s="1933"/>
      <c r="K608" s="1933"/>
      <c r="L608" s="1933"/>
      <c r="M608" s="1933"/>
      <c r="N608" s="1933"/>
      <c r="O608" s="1933"/>
      <c r="P608" s="1933"/>
      <c r="Q608" s="1933"/>
      <c r="R608" s="1933"/>
      <c r="S608" s="1933"/>
      <c r="T608" s="1933"/>
      <c r="U608" s="1933"/>
      <c r="V608" s="1933"/>
      <c r="W608" s="1933"/>
      <c r="X608" s="1933"/>
      <c r="Y608" s="1933"/>
      <c r="Z608" s="1933"/>
    </row>
    <row r="609" spans="1:26" ht="12" x14ac:dyDescent="0.2">
      <c r="A609" s="1933"/>
      <c r="B609" s="1933"/>
      <c r="C609" s="1933"/>
      <c r="D609" s="1933"/>
      <c r="E609" s="1933"/>
      <c r="F609" s="1933"/>
      <c r="G609" s="1934"/>
      <c r="H609" s="1933"/>
      <c r="I609" s="1933"/>
      <c r="J609" s="1933"/>
      <c r="K609" s="1933"/>
      <c r="L609" s="1933"/>
      <c r="M609" s="1933"/>
      <c r="N609" s="1933"/>
      <c r="O609" s="1933"/>
      <c r="P609" s="1933"/>
      <c r="Q609" s="1933"/>
      <c r="R609" s="1933"/>
      <c r="S609" s="1933"/>
      <c r="T609" s="1933"/>
      <c r="U609" s="1933"/>
      <c r="V609" s="1933"/>
      <c r="W609" s="1933"/>
      <c r="X609" s="1933"/>
      <c r="Y609" s="1933"/>
      <c r="Z609" s="1933"/>
    </row>
    <row r="610" spans="1:26" ht="12" x14ac:dyDescent="0.2">
      <c r="A610" s="1933"/>
      <c r="B610" s="1933"/>
      <c r="C610" s="1933"/>
      <c r="D610" s="1933"/>
      <c r="E610" s="1933"/>
      <c r="F610" s="1933"/>
      <c r="G610" s="1934"/>
      <c r="H610" s="1933"/>
      <c r="I610" s="1933"/>
      <c r="J610" s="1933"/>
      <c r="K610" s="1933"/>
      <c r="L610" s="1933"/>
      <c r="M610" s="1933"/>
      <c r="N610" s="1933"/>
      <c r="O610" s="1933"/>
      <c r="P610" s="1933"/>
      <c r="Q610" s="1933"/>
      <c r="R610" s="1933"/>
      <c r="S610" s="1933"/>
      <c r="T610" s="1933"/>
      <c r="U610" s="1933"/>
      <c r="V610" s="1933"/>
      <c r="W610" s="1933"/>
      <c r="X610" s="1933"/>
      <c r="Y610" s="1933"/>
      <c r="Z610" s="1933"/>
    </row>
    <row r="611" spans="1:26" ht="12" x14ac:dyDescent="0.2">
      <c r="A611" s="1933"/>
      <c r="B611" s="1933"/>
      <c r="C611" s="1933"/>
      <c r="D611" s="1933"/>
      <c r="E611" s="1933"/>
      <c r="F611" s="1933"/>
      <c r="G611" s="1934"/>
      <c r="H611" s="1933"/>
      <c r="I611" s="1933"/>
      <c r="J611" s="1933"/>
      <c r="K611" s="1933"/>
      <c r="L611" s="1933"/>
      <c r="M611" s="1933"/>
      <c r="N611" s="1933"/>
      <c r="O611" s="1933"/>
      <c r="P611" s="1933"/>
      <c r="Q611" s="1933"/>
      <c r="R611" s="1933"/>
      <c r="S611" s="1933"/>
      <c r="T611" s="1933"/>
      <c r="U611" s="1933"/>
      <c r="V611" s="1933"/>
      <c r="W611" s="1933"/>
      <c r="X611" s="1933"/>
      <c r="Y611" s="1933"/>
      <c r="Z611" s="1933"/>
    </row>
    <row r="612" spans="1:26" ht="12" x14ac:dyDescent="0.2">
      <c r="A612" s="1933"/>
      <c r="B612" s="1933"/>
      <c r="C612" s="1933"/>
      <c r="D612" s="1933"/>
      <c r="E612" s="1933"/>
      <c r="F612" s="1933"/>
      <c r="G612" s="1934"/>
      <c r="H612" s="1933"/>
      <c r="I612" s="1933"/>
      <c r="J612" s="1933"/>
      <c r="K612" s="1933"/>
      <c r="L612" s="1933"/>
      <c r="M612" s="1933"/>
      <c r="N612" s="1933"/>
      <c r="O612" s="1933"/>
      <c r="P612" s="1933"/>
      <c r="Q612" s="1933"/>
      <c r="R612" s="1933"/>
      <c r="S612" s="1933"/>
      <c r="T612" s="1933"/>
      <c r="U612" s="1933"/>
      <c r="V612" s="1933"/>
      <c r="W612" s="1933"/>
      <c r="X612" s="1933"/>
      <c r="Y612" s="1933"/>
      <c r="Z612" s="1933"/>
    </row>
    <row r="613" spans="1:26" ht="12" x14ac:dyDescent="0.2">
      <c r="A613" s="1933"/>
      <c r="B613" s="1933"/>
      <c r="C613" s="1933"/>
      <c r="D613" s="1933"/>
      <c r="E613" s="1933"/>
      <c r="F613" s="1933"/>
      <c r="G613" s="1934"/>
      <c r="H613" s="1933"/>
      <c r="I613" s="1933"/>
      <c r="J613" s="1933"/>
      <c r="K613" s="1933"/>
      <c r="L613" s="1933"/>
      <c r="M613" s="1933"/>
      <c r="N613" s="1933"/>
      <c r="O613" s="1933"/>
      <c r="P613" s="1933"/>
      <c r="Q613" s="1933"/>
      <c r="R613" s="1933"/>
      <c r="S613" s="1933"/>
      <c r="T613" s="1933"/>
      <c r="U613" s="1933"/>
      <c r="V613" s="1933"/>
      <c r="W613" s="1933"/>
      <c r="X613" s="1933"/>
      <c r="Y613" s="1933"/>
      <c r="Z613" s="1933"/>
    </row>
    <row r="614" spans="1:26" ht="12" x14ac:dyDescent="0.2">
      <c r="A614" s="1933"/>
      <c r="B614" s="1933"/>
      <c r="C614" s="1933"/>
      <c r="D614" s="1933"/>
      <c r="E614" s="1933"/>
      <c r="F614" s="1933"/>
      <c r="G614" s="1934"/>
      <c r="H614" s="1933"/>
      <c r="I614" s="1933"/>
      <c r="J614" s="1933"/>
      <c r="K614" s="1933"/>
      <c r="L614" s="1933"/>
      <c r="M614" s="1933"/>
      <c r="N614" s="1933"/>
      <c r="O614" s="1933"/>
      <c r="P614" s="1933"/>
      <c r="Q614" s="1933"/>
      <c r="R614" s="1933"/>
      <c r="S614" s="1933"/>
      <c r="T614" s="1933"/>
      <c r="U614" s="1933"/>
      <c r="V614" s="1933"/>
      <c r="W614" s="1933"/>
      <c r="X614" s="1933"/>
      <c r="Y614" s="1933"/>
      <c r="Z614" s="1933"/>
    </row>
    <row r="615" spans="1:26" ht="12" x14ac:dyDescent="0.2">
      <c r="A615" s="1933"/>
      <c r="B615" s="1933"/>
      <c r="C615" s="1933"/>
      <c r="D615" s="1933"/>
      <c r="E615" s="1933"/>
      <c r="F615" s="1933"/>
      <c r="G615" s="1934"/>
      <c r="H615" s="1933"/>
      <c r="I615" s="1933"/>
      <c r="J615" s="1933"/>
      <c r="K615" s="1933"/>
      <c r="L615" s="1933"/>
      <c r="M615" s="1933"/>
      <c r="N615" s="1933"/>
      <c r="O615" s="1933"/>
      <c r="P615" s="1933"/>
      <c r="Q615" s="1933"/>
      <c r="R615" s="1933"/>
      <c r="S615" s="1933"/>
      <c r="T615" s="1933"/>
      <c r="U615" s="1933"/>
      <c r="V615" s="1933"/>
      <c r="W615" s="1933"/>
      <c r="X615" s="1933"/>
      <c r="Y615" s="1933"/>
      <c r="Z615" s="1933"/>
    </row>
    <row r="616" spans="1:26" ht="12" x14ac:dyDescent="0.2">
      <c r="A616" s="1933"/>
      <c r="B616" s="1933"/>
      <c r="C616" s="1933"/>
      <c r="D616" s="1933"/>
      <c r="E616" s="1933"/>
      <c r="F616" s="1933"/>
      <c r="G616" s="1934"/>
      <c r="H616" s="1933"/>
      <c r="I616" s="1933"/>
      <c r="J616" s="1933"/>
      <c r="K616" s="1933"/>
      <c r="L616" s="1933"/>
      <c r="M616" s="1933"/>
      <c r="N616" s="1933"/>
      <c r="O616" s="1933"/>
      <c r="P616" s="1933"/>
      <c r="Q616" s="1933"/>
      <c r="R616" s="1933"/>
      <c r="S616" s="1933"/>
      <c r="T616" s="1933"/>
      <c r="U616" s="1933"/>
      <c r="V616" s="1933"/>
      <c r="W616" s="1933"/>
      <c r="X616" s="1933"/>
      <c r="Y616" s="1933"/>
      <c r="Z616" s="1933"/>
    </row>
    <row r="617" spans="1:26" ht="12" x14ac:dyDescent="0.2">
      <c r="A617" s="1933"/>
      <c r="B617" s="1933"/>
      <c r="C617" s="1933"/>
      <c r="D617" s="1933"/>
      <c r="E617" s="1933"/>
      <c r="F617" s="1933"/>
      <c r="G617" s="1934"/>
      <c r="H617" s="1933"/>
      <c r="I617" s="1933"/>
      <c r="J617" s="1933"/>
      <c r="K617" s="1933"/>
      <c r="L617" s="1933"/>
      <c r="M617" s="1933"/>
      <c r="N617" s="1933"/>
      <c r="O617" s="1933"/>
      <c r="P617" s="1933"/>
      <c r="Q617" s="1933"/>
      <c r="R617" s="1933"/>
      <c r="S617" s="1933"/>
      <c r="T617" s="1933"/>
      <c r="U617" s="1933"/>
      <c r="V617" s="1933"/>
      <c r="W617" s="1933"/>
      <c r="X617" s="1933"/>
      <c r="Y617" s="1933"/>
      <c r="Z617" s="1933"/>
    </row>
    <row r="618" spans="1:26" ht="12" x14ac:dyDescent="0.2">
      <c r="A618" s="1933"/>
      <c r="B618" s="1933"/>
      <c r="C618" s="1933"/>
      <c r="D618" s="1933"/>
      <c r="E618" s="1933"/>
      <c r="F618" s="1933"/>
      <c r="G618" s="1934"/>
      <c r="H618" s="1933"/>
      <c r="I618" s="1933"/>
      <c r="J618" s="1933"/>
      <c r="K618" s="1933"/>
      <c r="L618" s="1933"/>
      <c r="M618" s="1933"/>
      <c r="N618" s="1933"/>
      <c r="O618" s="1933"/>
      <c r="P618" s="1933"/>
      <c r="Q618" s="1933"/>
      <c r="R618" s="1933"/>
      <c r="S618" s="1933"/>
      <c r="T618" s="1933"/>
      <c r="U618" s="1933"/>
      <c r="V618" s="1933"/>
      <c r="W618" s="1933"/>
      <c r="X618" s="1933"/>
      <c r="Y618" s="1933"/>
      <c r="Z618" s="1933"/>
    </row>
    <row r="619" spans="1:26" ht="12" x14ac:dyDescent="0.2">
      <c r="A619" s="1933"/>
      <c r="B619" s="1933"/>
      <c r="C619" s="1933"/>
      <c r="D619" s="1933"/>
      <c r="E619" s="1933"/>
      <c r="F619" s="1933"/>
      <c r="G619" s="1934"/>
      <c r="H619" s="1933"/>
      <c r="I619" s="1933"/>
      <c r="J619" s="1933"/>
      <c r="K619" s="1933"/>
      <c r="L619" s="1933"/>
      <c r="M619" s="1933"/>
      <c r="N619" s="1933"/>
      <c r="O619" s="1933"/>
      <c r="P619" s="1933"/>
      <c r="Q619" s="1933"/>
      <c r="R619" s="1933"/>
      <c r="S619" s="1933"/>
      <c r="T619" s="1933"/>
      <c r="U619" s="1933"/>
      <c r="V619" s="1933"/>
      <c r="W619" s="1933"/>
      <c r="X619" s="1933"/>
      <c r="Y619" s="1933"/>
      <c r="Z619" s="1933"/>
    </row>
    <row r="620" spans="1:26" ht="12" x14ac:dyDescent="0.2">
      <c r="A620" s="1933"/>
      <c r="B620" s="1933"/>
      <c r="C620" s="1933"/>
      <c r="D620" s="1933"/>
      <c r="E620" s="1933"/>
      <c r="F620" s="1933"/>
      <c r="G620" s="1934"/>
      <c r="H620" s="1933"/>
      <c r="I620" s="1933"/>
      <c r="J620" s="1933"/>
      <c r="K620" s="1933"/>
      <c r="L620" s="1933"/>
      <c r="M620" s="1933"/>
      <c r="N620" s="1933"/>
      <c r="O620" s="1933"/>
      <c r="P620" s="1933"/>
      <c r="Q620" s="1933"/>
      <c r="R620" s="1933"/>
      <c r="S620" s="1933"/>
      <c r="T620" s="1933"/>
      <c r="U620" s="1933"/>
      <c r="V620" s="1933"/>
      <c r="W620" s="1933"/>
      <c r="X620" s="1933"/>
      <c r="Y620" s="1933"/>
      <c r="Z620" s="1933"/>
    </row>
    <row r="621" spans="1:26" ht="12" x14ac:dyDescent="0.2">
      <c r="A621" s="1933"/>
      <c r="B621" s="1933"/>
      <c r="C621" s="1933"/>
      <c r="D621" s="1933"/>
      <c r="E621" s="1933"/>
      <c r="F621" s="1933"/>
      <c r="G621" s="1934"/>
      <c r="H621" s="1933"/>
      <c r="I621" s="1933"/>
      <c r="J621" s="1933"/>
      <c r="K621" s="1933"/>
      <c r="L621" s="1933"/>
      <c r="M621" s="1933"/>
      <c r="N621" s="1933"/>
      <c r="O621" s="1933"/>
      <c r="P621" s="1933"/>
      <c r="Q621" s="1933"/>
      <c r="R621" s="1933"/>
      <c r="S621" s="1933"/>
      <c r="T621" s="1933"/>
      <c r="U621" s="1933"/>
      <c r="V621" s="1933"/>
      <c r="W621" s="1933"/>
      <c r="X621" s="1933"/>
      <c r="Y621" s="1933"/>
      <c r="Z621" s="1933"/>
    </row>
    <row r="622" spans="1:26" ht="12" x14ac:dyDescent="0.2">
      <c r="A622" s="1933"/>
      <c r="B622" s="1933"/>
      <c r="C622" s="1933"/>
      <c r="D622" s="1933"/>
      <c r="E622" s="1933"/>
      <c r="F622" s="1933"/>
      <c r="G622" s="1934"/>
      <c r="H622" s="1933"/>
      <c r="I622" s="1933"/>
      <c r="J622" s="1933"/>
      <c r="K622" s="1933"/>
      <c r="L622" s="1933"/>
      <c r="M622" s="1933"/>
      <c r="N622" s="1933"/>
      <c r="O622" s="1933"/>
      <c r="P622" s="1933"/>
      <c r="Q622" s="1933"/>
      <c r="R622" s="1933"/>
      <c r="S622" s="1933"/>
      <c r="T622" s="1933"/>
      <c r="U622" s="1933"/>
      <c r="V622" s="1933"/>
      <c r="W622" s="1933"/>
      <c r="X622" s="1933"/>
      <c r="Y622" s="1933"/>
      <c r="Z622" s="1933"/>
    </row>
    <row r="623" spans="1:26" ht="12" x14ac:dyDescent="0.2">
      <c r="A623" s="1933"/>
      <c r="B623" s="1933"/>
      <c r="C623" s="1933"/>
      <c r="D623" s="1933"/>
      <c r="E623" s="1933"/>
      <c r="F623" s="1933"/>
      <c r="G623" s="1934"/>
      <c r="H623" s="1933"/>
      <c r="I623" s="1933"/>
      <c r="J623" s="1933"/>
      <c r="K623" s="1933"/>
      <c r="L623" s="1933"/>
      <c r="M623" s="1933"/>
      <c r="N623" s="1933"/>
      <c r="O623" s="1933"/>
      <c r="P623" s="1933"/>
      <c r="Q623" s="1933"/>
      <c r="R623" s="1933"/>
      <c r="S623" s="1933"/>
      <c r="T623" s="1933"/>
      <c r="U623" s="1933"/>
      <c r="V623" s="1933"/>
      <c r="W623" s="1933"/>
      <c r="X623" s="1933"/>
      <c r="Y623" s="1933"/>
      <c r="Z623" s="1933"/>
    </row>
    <row r="624" spans="1:26" ht="12" x14ac:dyDescent="0.2">
      <c r="A624" s="1933"/>
      <c r="B624" s="1933"/>
      <c r="C624" s="1933"/>
      <c r="D624" s="1933"/>
      <c r="E624" s="1933"/>
      <c r="F624" s="1933"/>
      <c r="G624" s="1934"/>
      <c r="H624" s="1933"/>
      <c r="I624" s="1933"/>
      <c r="J624" s="1933"/>
      <c r="K624" s="1933"/>
      <c r="L624" s="1933"/>
      <c r="M624" s="1933"/>
      <c r="N624" s="1933"/>
      <c r="O624" s="1933"/>
      <c r="P624" s="1933"/>
      <c r="Q624" s="1933"/>
      <c r="R624" s="1933"/>
      <c r="S624" s="1933"/>
      <c r="T624" s="1933"/>
      <c r="U624" s="1933"/>
      <c r="V624" s="1933"/>
      <c r="W624" s="1933"/>
      <c r="X624" s="1933"/>
      <c r="Y624" s="1933"/>
      <c r="Z624" s="1933"/>
    </row>
    <row r="625" spans="1:26" ht="12" x14ac:dyDescent="0.2">
      <c r="A625" s="1933"/>
      <c r="B625" s="1933"/>
      <c r="C625" s="1933"/>
      <c r="D625" s="1933"/>
      <c r="E625" s="1933"/>
      <c r="F625" s="1933"/>
      <c r="G625" s="1934"/>
      <c r="H625" s="1933"/>
      <c r="I625" s="1933"/>
      <c r="J625" s="1933"/>
      <c r="K625" s="1933"/>
      <c r="L625" s="1933"/>
      <c r="M625" s="1933"/>
      <c r="N625" s="1933"/>
      <c r="O625" s="1933"/>
      <c r="P625" s="1933"/>
      <c r="Q625" s="1933"/>
      <c r="R625" s="1933"/>
      <c r="S625" s="1933"/>
      <c r="T625" s="1933"/>
      <c r="U625" s="1933"/>
      <c r="V625" s="1933"/>
      <c r="W625" s="1933"/>
      <c r="X625" s="1933"/>
      <c r="Y625" s="1933"/>
      <c r="Z625" s="1933"/>
    </row>
    <row r="626" spans="1:26" ht="12" x14ac:dyDescent="0.2">
      <c r="A626" s="1933"/>
      <c r="B626" s="1933"/>
      <c r="C626" s="1933"/>
      <c r="D626" s="1933"/>
      <c r="E626" s="1933"/>
      <c r="F626" s="1933"/>
      <c r="G626" s="1934"/>
      <c r="H626" s="1933"/>
      <c r="I626" s="1933"/>
      <c r="J626" s="1933"/>
      <c r="K626" s="1933"/>
      <c r="L626" s="1933"/>
      <c r="M626" s="1933"/>
      <c r="N626" s="1933"/>
      <c r="O626" s="1933"/>
      <c r="P626" s="1933"/>
      <c r="Q626" s="1933"/>
      <c r="R626" s="1933"/>
      <c r="S626" s="1933"/>
      <c r="T626" s="1933"/>
      <c r="U626" s="1933"/>
      <c r="V626" s="1933"/>
      <c r="W626" s="1933"/>
      <c r="X626" s="1933"/>
      <c r="Y626" s="1933"/>
      <c r="Z626" s="1933"/>
    </row>
    <row r="627" spans="1:26" ht="12" x14ac:dyDescent="0.2">
      <c r="A627" s="1933"/>
      <c r="B627" s="1933"/>
      <c r="C627" s="1933"/>
      <c r="D627" s="1933"/>
      <c r="E627" s="1933"/>
      <c r="F627" s="1933"/>
      <c r="G627" s="1934"/>
      <c r="H627" s="1933"/>
      <c r="I627" s="1933"/>
      <c r="J627" s="1933"/>
      <c r="K627" s="1933"/>
      <c r="L627" s="1933"/>
      <c r="M627" s="1933"/>
      <c r="N627" s="1933"/>
      <c r="O627" s="1933"/>
      <c r="P627" s="1933"/>
      <c r="Q627" s="1933"/>
      <c r="R627" s="1933"/>
      <c r="S627" s="1933"/>
      <c r="T627" s="1933"/>
      <c r="U627" s="1933"/>
      <c r="V627" s="1933"/>
      <c r="W627" s="1933"/>
      <c r="X627" s="1933"/>
      <c r="Y627" s="1933"/>
      <c r="Z627" s="1933"/>
    </row>
    <row r="628" spans="1:26" ht="12" x14ac:dyDescent="0.2">
      <c r="A628" s="1933"/>
      <c r="B628" s="1933"/>
      <c r="C628" s="1933"/>
      <c r="D628" s="1933"/>
      <c r="E628" s="1933"/>
      <c r="F628" s="1933"/>
      <c r="G628" s="1934"/>
      <c r="H628" s="1933"/>
      <c r="I628" s="1933"/>
      <c r="J628" s="1933"/>
      <c r="K628" s="1933"/>
      <c r="L628" s="1933"/>
      <c r="M628" s="1933"/>
      <c r="N628" s="1933"/>
      <c r="O628" s="1933"/>
      <c r="P628" s="1933"/>
      <c r="Q628" s="1933"/>
      <c r="R628" s="1933"/>
      <c r="S628" s="1933"/>
      <c r="T628" s="1933"/>
      <c r="U628" s="1933"/>
      <c r="V628" s="1933"/>
      <c r="W628" s="1933"/>
      <c r="X628" s="1933"/>
      <c r="Y628" s="1933"/>
      <c r="Z628" s="1933"/>
    </row>
    <row r="629" spans="1:26" ht="12" x14ac:dyDescent="0.2">
      <c r="A629" s="1933"/>
      <c r="B629" s="1933"/>
      <c r="C629" s="1933"/>
      <c r="D629" s="1933"/>
      <c r="E629" s="1933"/>
      <c r="F629" s="1933"/>
      <c r="G629" s="1934"/>
      <c r="H629" s="1933"/>
      <c r="I629" s="1933"/>
      <c r="J629" s="1933"/>
      <c r="K629" s="1933"/>
      <c r="L629" s="1933"/>
      <c r="M629" s="1933"/>
      <c r="N629" s="1933"/>
      <c r="O629" s="1933"/>
      <c r="P629" s="1933"/>
      <c r="Q629" s="1933"/>
      <c r="R629" s="1933"/>
      <c r="S629" s="1933"/>
      <c r="T629" s="1933"/>
      <c r="U629" s="1933"/>
      <c r="V629" s="1933"/>
      <c r="W629" s="1933"/>
      <c r="X629" s="1933"/>
      <c r="Y629" s="1933"/>
      <c r="Z629" s="1933"/>
    </row>
    <row r="630" spans="1:26" ht="12" x14ac:dyDescent="0.2">
      <c r="A630" s="1933"/>
      <c r="B630" s="1933"/>
      <c r="C630" s="1933"/>
      <c r="D630" s="1933"/>
      <c r="E630" s="1933"/>
      <c r="F630" s="1933"/>
      <c r="G630" s="1934"/>
      <c r="H630" s="1933"/>
      <c r="I630" s="1933"/>
      <c r="J630" s="1933"/>
      <c r="K630" s="1933"/>
      <c r="L630" s="1933"/>
      <c r="M630" s="1933"/>
      <c r="N630" s="1933"/>
      <c r="O630" s="1933"/>
      <c r="P630" s="1933"/>
      <c r="Q630" s="1933"/>
      <c r="R630" s="1933"/>
      <c r="S630" s="1933"/>
      <c r="T630" s="1933"/>
      <c r="U630" s="1933"/>
      <c r="V630" s="1933"/>
      <c r="W630" s="1933"/>
      <c r="X630" s="1933"/>
      <c r="Y630" s="1933"/>
      <c r="Z630" s="1933"/>
    </row>
    <row r="631" spans="1:26" ht="12" x14ac:dyDescent="0.2">
      <c r="A631" s="1933"/>
      <c r="B631" s="1933"/>
      <c r="C631" s="1933"/>
      <c r="D631" s="1933"/>
      <c r="E631" s="1933"/>
      <c r="F631" s="1933"/>
      <c r="G631" s="1934"/>
      <c r="H631" s="1933"/>
      <c r="I631" s="1933"/>
      <c r="J631" s="1933"/>
      <c r="K631" s="1933"/>
      <c r="L631" s="1933"/>
      <c r="M631" s="1933"/>
      <c r="N631" s="1933"/>
      <c r="O631" s="1933"/>
      <c r="P631" s="1933"/>
      <c r="Q631" s="1933"/>
      <c r="R631" s="1933"/>
      <c r="S631" s="1933"/>
      <c r="T631" s="1933"/>
      <c r="U631" s="1933"/>
      <c r="V631" s="1933"/>
      <c r="W631" s="1933"/>
      <c r="X631" s="1933"/>
      <c r="Y631" s="1933"/>
      <c r="Z631" s="1933"/>
    </row>
    <row r="632" spans="1:26" ht="12" x14ac:dyDescent="0.2">
      <c r="A632" s="1933"/>
      <c r="B632" s="1933"/>
      <c r="C632" s="1933"/>
      <c r="D632" s="1933"/>
      <c r="E632" s="1933"/>
      <c r="F632" s="1933"/>
      <c r="G632" s="1934"/>
      <c r="H632" s="1933"/>
      <c r="I632" s="1933"/>
      <c r="J632" s="1933"/>
      <c r="K632" s="1933"/>
      <c r="L632" s="1933"/>
      <c r="M632" s="1933"/>
      <c r="N632" s="1933"/>
      <c r="O632" s="1933"/>
      <c r="P632" s="1933"/>
      <c r="Q632" s="1933"/>
      <c r="R632" s="1933"/>
      <c r="S632" s="1933"/>
      <c r="T632" s="1933"/>
      <c r="U632" s="1933"/>
      <c r="V632" s="1933"/>
      <c r="W632" s="1933"/>
      <c r="X632" s="1933"/>
      <c r="Y632" s="1933"/>
      <c r="Z632" s="1933"/>
    </row>
    <row r="633" spans="1:26" ht="12" x14ac:dyDescent="0.2">
      <c r="A633" s="1933"/>
      <c r="B633" s="1933"/>
      <c r="C633" s="1933"/>
      <c r="D633" s="1933"/>
      <c r="E633" s="1933"/>
      <c r="F633" s="1933"/>
      <c r="G633" s="1934"/>
      <c r="H633" s="1933"/>
      <c r="I633" s="1933"/>
      <c r="J633" s="1933"/>
      <c r="K633" s="1933"/>
      <c r="L633" s="1933"/>
      <c r="M633" s="1933"/>
      <c r="N633" s="1933"/>
      <c r="O633" s="1933"/>
      <c r="P633" s="1933"/>
      <c r="Q633" s="1933"/>
      <c r="R633" s="1933"/>
      <c r="S633" s="1933"/>
      <c r="T633" s="1933"/>
      <c r="U633" s="1933"/>
      <c r="V633" s="1933"/>
      <c r="W633" s="1933"/>
      <c r="X633" s="1933"/>
      <c r="Y633" s="1933"/>
      <c r="Z633" s="1933"/>
    </row>
    <row r="634" spans="1:26" ht="12" x14ac:dyDescent="0.2">
      <c r="A634" s="1933"/>
      <c r="B634" s="1933"/>
      <c r="C634" s="1933"/>
      <c r="D634" s="1933"/>
      <c r="E634" s="1933"/>
      <c r="F634" s="1933"/>
      <c r="G634" s="1934"/>
      <c r="H634" s="1933"/>
      <c r="I634" s="1933"/>
      <c r="J634" s="1933"/>
      <c r="K634" s="1933"/>
      <c r="L634" s="1933"/>
      <c r="M634" s="1933"/>
      <c r="N634" s="1933"/>
      <c r="O634" s="1933"/>
      <c r="P634" s="1933"/>
      <c r="Q634" s="1933"/>
      <c r="R634" s="1933"/>
      <c r="S634" s="1933"/>
      <c r="T634" s="1933"/>
      <c r="U634" s="1933"/>
      <c r="V634" s="1933"/>
      <c r="W634" s="1933"/>
      <c r="X634" s="1933"/>
      <c r="Y634" s="1933"/>
      <c r="Z634" s="1933"/>
    </row>
    <row r="635" spans="1:26" ht="12" x14ac:dyDescent="0.2">
      <c r="A635" s="1933"/>
      <c r="B635" s="1933"/>
      <c r="C635" s="1933"/>
      <c r="D635" s="1933"/>
      <c r="E635" s="1933"/>
      <c r="F635" s="1933"/>
      <c r="G635" s="1934"/>
      <c r="H635" s="1933"/>
      <c r="I635" s="1933"/>
      <c r="J635" s="1933"/>
      <c r="K635" s="1933"/>
      <c r="L635" s="1933"/>
      <c r="M635" s="1933"/>
      <c r="N635" s="1933"/>
      <c r="O635" s="1933"/>
      <c r="P635" s="1933"/>
      <c r="Q635" s="1933"/>
      <c r="R635" s="1933"/>
      <c r="S635" s="1933"/>
      <c r="T635" s="1933"/>
      <c r="U635" s="1933"/>
      <c r="V635" s="1933"/>
      <c r="W635" s="1933"/>
      <c r="X635" s="1933"/>
      <c r="Y635" s="1933"/>
      <c r="Z635" s="1933"/>
    </row>
    <row r="636" spans="1:26" ht="12" x14ac:dyDescent="0.2">
      <c r="A636" s="1933"/>
      <c r="B636" s="1933"/>
      <c r="C636" s="1933"/>
      <c r="D636" s="1933"/>
      <c r="E636" s="1933"/>
      <c r="F636" s="1933"/>
      <c r="G636" s="1934"/>
      <c r="H636" s="1933"/>
      <c r="I636" s="1933"/>
      <c r="J636" s="1933"/>
      <c r="K636" s="1933"/>
      <c r="L636" s="1933"/>
      <c r="M636" s="1933"/>
      <c r="N636" s="1933"/>
      <c r="O636" s="1933"/>
      <c r="P636" s="1933"/>
      <c r="Q636" s="1933"/>
      <c r="R636" s="1933"/>
      <c r="S636" s="1933"/>
      <c r="T636" s="1933"/>
      <c r="U636" s="1933"/>
      <c r="V636" s="1933"/>
      <c r="W636" s="1933"/>
      <c r="X636" s="1933"/>
      <c r="Y636" s="1933"/>
      <c r="Z636" s="1933"/>
    </row>
    <row r="637" spans="1:26" ht="12" x14ac:dyDescent="0.2">
      <c r="A637" s="1933"/>
      <c r="B637" s="1933"/>
      <c r="C637" s="1933"/>
      <c r="D637" s="1933"/>
      <c r="E637" s="1933"/>
      <c r="F637" s="1933"/>
      <c r="G637" s="1934"/>
      <c r="H637" s="1933"/>
      <c r="I637" s="1933"/>
      <c r="J637" s="1933"/>
      <c r="K637" s="1933"/>
      <c r="L637" s="1933"/>
      <c r="M637" s="1933"/>
      <c r="N637" s="1933"/>
      <c r="O637" s="1933"/>
      <c r="P637" s="1933"/>
      <c r="Q637" s="1933"/>
      <c r="R637" s="1933"/>
      <c r="S637" s="1933"/>
      <c r="T637" s="1933"/>
      <c r="U637" s="1933"/>
      <c r="V637" s="1933"/>
      <c r="W637" s="1933"/>
      <c r="X637" s="1933"/>
      <c r="Y637" s="1933"/>
      <c r="Z637" s="1933"/>
    </row>
    <row r="638" spans="1:26" ht="12" x14ac:dyDescent="0.2">
      <c r="A638" s="1933"/>
      <c r="B638" s="1933"/>
      <c r="C638" s="1933"/>
      <c r="D638" s="1933"/>
      <c r="E638" s="1933"/>
      <c r="F638" s="1933"/>
      <c r="G638" s="1934"/>
      <c r="H638" s="1933"/>
      <c r="I638" s="1933"/>
      <c r="J638" s="1933"/>
      <c r="K638" s="1933"/>
      <c r="L638" s="1933"/>
      <c r="M638" s="1933"/>
      <c r="N638" s="1933"/>
      <c r="O638" s="1933"/>
      <c r="P638" s="1933"/>
      <c r="Q638" s="1933"/>
      <c r="R638" s="1933"/>
      <c r="S638" s="1933"/>
      <c r="T638" s="1933"/>
      <c r="U638" s="1933"/>
      <c r="V638" s="1933"/>
      <c r="W638" s="1933"/>
      <c r="X638" s="1933"/>
      <c r="Y638" s="1933"/>
      <c r="Z638" s="1933"/>
    </row>
    <row r="639" spans="1:26" ht="12" x14ac:dyDescent="0.2">
      <c r="A639" s="1933"/>
      <c r="B639" s="1933"/>
      <c r="C639" s="1933"/>
      <c r="D639" s="1933"/>
      <c r="E639" s="1933"/>
      <c r="F639" s="1933"/>
      <c r="G639" s="1934"/>
      <c r="H639" s="1933"/>
      <c r="I639" s="1933"/>
      <c r="J639" s="1933"/>
      <c r="K639" s="1933"/>
      <c r="L639" s="1933"/>
      <c r="M639" s="1933"/>
      <c r="N639" s="1933"/>
      <c r="O639" s="1933"/>
      <c r="P639" s="1933"/>
      <c r="Q639" s="1933"/>
      <c r="R639" s="1933"/>
      <c r="S639" s="1933"/>
      <c r="T639" s="1933"/>
      <c r="U639" s="1933"/>
      <c r="V639" s="1933"/>
      <c r="W639" s="1933"/>
      <c r="X639" s="1933"/>
      <c r="Y639" s="1933"/>
      <c r="Z639" s="1933"/>
    </row>
    <row r="640" spans="1:26" ht="12" x14ac:dyDescent="0.2">
      <c r="A640" s="1933"/>
      <c r="B640" s="1933"/>
      <c r="C640" s="1933"/>
      <c r="D640" s="1933"/>
      <c r="E640" s="1933"/>
      <c r="F640" s="1933"/>
      <c r="G640" s="1934"/>
      <c r="H640" s="1933"/>
      <c r="I640" s="1933"/>
      <c r="J640" s="1933"/>
      <c r="K640" s="1933"/>
      <c r="L640" s="1933"/>
      <c r="M640" s="1933"/>
      <c r="N640" s="1933"/>
      <c r="O640" s="1933"/>
      <c r="P640" s="1933"/>
      <c r="Q640" s="1933"/>
      <c r="R640" s="1933"/>
      <c r="S640" s="1933"/>
      <c r="T640" s="1933"/>
      <c r="U640" s="1933"/>
      <c r="V640" s="1933"/>
      <c r="W640" s="1933"/>
      <c r="X640" s="1933"/>
      <c r="Y640" s="1933"/>
      <c r="Z640" s="1933"/>
    </row>
    <row r="641" spans="1:26" ht="12" x14ac:dyDescent="0.2">
      <c r="A641" s="1933"/>
      <c r="B641" s="1933"/>
      <c r="C641" s="1933"/>
      <c r="D641" s="1933"/>
      <c r="E641" s="1933"/>
      <c r="F641" s="1933"/>
      <c r="G641" s="1934"/>
      <c r="H641" s="1933"/>
      <c r="I641" s="1933"/>
      <c r="J641" s="1933"/>
      <c r="K641" s="1933"/>
      <c r="L641" s="1933"/>
      <c r="M641" s="1933"/>
      <c r="N641" s="1933"/>
      <c r="O641" s="1933"/>
      <c r="P641" s="1933"/>
      <c r="Q641" s="1933"/>
      <c r="R641" s="1933"/>
      <c r="S641" s="1933"/>
      <c r="T641" s="1933"/>
      <c r="U641" s="1933"/>
      <c r="V641" s="1933"/>
      <c r="W641" s="1933"/>
      <c r="X641" s="1933"/>
      <c r="Y641" s="1933"/>
      <c r="Z641" s="1933"/>
    </row>
    <row r="642" spans="1:26" ht="12" x14ac:dyDescent="0.2">
      <c r="A642" s="1933"/>
      <c r="B642" s="1933"/>
      <c r="C642" s="1933"/>
      <c r="D642" s="1933"/>
      <c r="E642" s="1933"/>
      <c r="F642" s="1933"/>
      <c r="G642" s="1934"/>
      <c r="H642" s="1933"/>
      <c r="I642" s="1933"/>
      <c r="J642" s="1933"/>
      <c r="K642" s="1933"/>
      <c r="L642" s="1933"/>
      <c r="M642" s="1933"/>
      <c r="N642" s="1933"/>
      <c r="O642" s="1933"/>
      <c r="P642" s="1933"/>
      <c r="Q642" s="1933"/>
      <c r="R642" s="1933"/>
      <c r="S642" s="1933"/>
      <c r="T642" s="1933"/>
      <c r="U642" s="1933"/>
      <c r="V642" s="1933"/>
      <c r="W642" s="1933"/>
      <c r="X642" s="1933"/>
      <c r="Y642" s="1933"/>
      <c r="Z642" s="1933"/>
    </row>
    <row r="643" spans="1:26" ht="12" x14ac:dyDescent="0.2">
      <c r="A643" s="1933"/>
      <c r="B643" s="1933"/>
      <c r="C643" s="1933"/>
      <c r="D643" s="1933"/>
      <c r="E643" s="1933"/>
      <c r="F643" s="1933"/>
      <c r="G643" s="1934"/>
      <c r="H643" s="1933"/>
      <c r="I643" s="1933"/>
      <c r="J643" s="1933"/>
      <c r="K643" s="1933"/>
      <c r="L643" s="1933"/>
      <c r="M643" s="1933"/>
      <c r="N643" s="1933"/>
      <c r="O643" s="1933"/>
      <c r="P643" s="1933"/>
      <c r="Q643" s="1933"/>
      <c r="R643" s="1933"/>
      <c r="S643" s="1933"/>
      <c r="T643" s="1933"/>
      <c r="U643" s="1933"/>
      <c r="V643" s="1933"/>
      <c r="W643" s="1933"/>
      <c r="X643" s="1933"/>
      <c r="Y643" s="1933"/>
      <c r="Z643" s="1933"/>
    </row>
    <row r="644" spans="1:26" ht="12" x14ac:dyDescent="0.2">
      <c r="A644" s="1933"/>
      <c r="B644" s="1933"/>
      <c r="C644" s="1933"/>
      <c r="D644" s="1933"/>
      <c r="E644" s="1933"/>
      <c r="F644" s="1933"/>
      <c r="G644" s="1934"/>
      <c r="H644" s="1933"/>
      <c r="I644" s="1933"/>
      <c r="J644" s="1933"/>
      <c r="K644" s="1933"/>
      <c r="L644" s="1933"/>
      <c r="M644" s="1933"/>
      <c r="N644" s="1933"/>
      <c r="O644" s="1933"/>
      <c r="P644" s="1933"/>
      <c r="Q644" s="1933"/>
      <c r="R644" s="1933"/>
      <c r="S644" s="1933"/>
      <c r="T644" s="1933"/>
      <c r="U644" s="1933"/>
      <c r="V644" s="1933"/>
      <c r="W644" s="1933"/>
      <c r="X644" s="1933"/>
      <c r="Y644" s="1933"/>
      <c r="Z644" s="1933"/>
    </row>
    <row r="645" spans="1:26" ht="12" x14ac:dyDescent="0.2">
      <c r="A645" s="1933"/>
      <c r="B645" s="1933"/>
      <c r="C645" s="1933"/>
      <c r="D645" s="1933"/>
      <c r="E645" s="1933"/>
      <c r="F645" s="1933"/>
      <c r="G645" s="1934"/>
      <c r="H645" s="1933"/>
      <c r="I645" s="1933"/>
      <c r="J645" s="1933"/>
      <c r="K645" s="1933"/>
      <c r="L645" s="1933"/>
      <c r="M645" s="1933"/>
      <c r="N645" s="1933"/>
      <c r="O645" s="1933"/>
      <c r="P645" s="1933"/>
      <c r="Q645" s="1933"/>
      <c r="R645" s="1933"/>
      <c r="S645" s="1933"/>
      <c r="T645" s="1933"/>
      <c r="U645" s="1933"/>
      <c r="V645" s="1933"/>
      <c r="W645" s="1933"/>
      <c r="X645" s="1933"/>
      <c r="Y645" s="1933"/>
      <c r="Z645" s="1933"/>
    </row>
    <row r="646" spans="1:26" ht="12" x14ac:dyDescent="0.2">
      <c r="A646" s="1933"/>
      <c r="B646" s="1933"/>
      <c r="C646" s="1933"/>
      <c r="D646" s="1933"/>
      <c r="E646" s="1933"/>
      <c r="F646" s="1933"/>
      <c r="G646" s="1934"/>
      <c r="H646" s="1933"/>
      <c r="I646" s="1933"/>
      <c r="J646" s="1933"/>
      <c r="K646" s="1933"/>
      <c r="L646" s="1933"/>
      <c r="M646" s="1933"/>
      <c r="N646" s="1933"/>
      <c r="O646" s="1933"/>
      <c r="P646" s="1933"/>
      <c r="Q646" s="1933"/>
      <c r="R646" s="1933"/>
      <c r="S646" s="1933"/>
      <c r="T646" s="1933"/>
      <c r="U646" s="1933"/>
      <c r="V646" s="1933"/>
      <c r="W646" s="1933"/>
      <c r="X646" s="1933"/>
      <c r="Y646" s="1933"/>
      <c r="Z646" s="1933"/>
    </row>
    <row r="647" spans="1:26" ht="12" x14ac:dyDescent="0.2">
      <c r="A647" s="1933"/>
      <c r="B647" s="1933"/>
      <c r="C647" s="1933"/>
      <c r="D647" s="1933"/>
      <c r="E647" s="1933"/>
      <c r="F647" s="1933"/>
      <c r="G647" s="1934"/>
      <c r="H647" s="1933"/>
      <c r="I647" s="1933"/>
      <c r="J647" s="1933"/>
      <c r="K647" s="1933"/>
      <c r="L647" s="1933"/>
      <c r="M647" s="1933"/>
      <c r="N647" s="1933"/>
      <c r="O647" s="1933"/>
      <c r="P647" s="1933"/>
      <c r="Q647" s="1933"/>
      <c r="R647" s="1933"/>
      <c r="S647" s="1933"/>
      <c r="T647" s="1933"/>
      <c r="U647" s="1933"/>
      <c r="V647" s="1933"/>
      <c r="W647" s="1933"/>
      <c r="X647" s="1933"/>
      <c r="Y647" s="1933"/>
      <c r="Z647" s="1933"/>
    </row>
    <row r="648" spans="1:26" ht="12" x14ac:dyDescent="0.2">
      <c r="A648" s="1933"/>
      <c r="B648" s="1933"/>
      <c r="C648" s="1933"/>
      <c r="D648" s="1933"/>
      <c r="E648" s="1933"/>
      <c r="F648" s="1933"/>
      <c r="G648" s="1934"/>
      <c r="H648" s="1933"/>
      <c r="I648" s="1933"/>
      <c r="J648" s="1933"/>
      <c r="K648" s="1933"/>
      <c r="L648" s="1933"/>
      <c r="M648" s="1933"/>
      <c r="N648" s="1933"/>
      <c r="O648" s="1933"/>
      <c r="P648" s="1933"/>
      <c r="Q648" s="1933"/>
      <c r="R648" s="1933"/>
      <c r="S648" s="1933"/>
      <c r="T648" s="1933"/>
      <c r="U648" s="1933"/>
      <c r="V648" s="1933"/>
      <c r="W648" s="1933"/>
      <c r="X648" s="1933"/>
      <c r="Y648" s="1933"/>
      <c r="Z648" s="1933"/>
    </row>
    <row r="649" spans="1:26" ht="12" x14ac:dyDescent="0.2">
      <c r="A649" s="1933"/>
      <c r="B649" s="1933"/>
      <c r="C649" s="1933"/>
      <c r="D649" s="1933"/>
      <c r="E649" s="1933"/>
      <c r="F649" s="1933"/>
      <c r="G649" s="1934"/>
      <c r="H649" s="1933"/>
      <c r="I649" s="1933"/>
      <c r="J649" s="1933"/>
      <c r="K649" s="1933"/>
      <c r="L649" s="1933"/>
      <c r="M649" s="1933"/>
      <c r="N649" s="1933"/>
      <c r="O649" s="1933"/>
      <c r="P649" s="1933"/>
      <c r="Q649" s="1933"/>
      <c r="R649" s="1933"/>
      <c r="S649" s="1933"/>
      <c r="T649" s="1933"/>
      <c r="U649" s="1933"/>
      <c r="V649" s="1933"/>
      <c r="W649" s="1933"/>
      <c r="X649" s="1933"/>
      <c r="Y649" s="1933"/>
      <c r="Z649" s="1933"/>
    </row>
    <row r="650" spans="1:26" ht="12" x14ac:dyDescent="0.2">
      <c r="A650" s="1933"/>
      <c r="B650" s="1933"/>
      <c r="C650" s="1933"/>
      <c r="D650" s="1933"/>
      <c r="E650" s="1933"/>
      <c r="F650" s="1933"/>
      <c r="G650" s="1934"/>
      <c r="H650" s="1933"/>
      <c r="I650" s="1933"/>
      <c r="J650" s="1933"/>
      <c r="K650" s="1933"/>
      <c r="L650" s="1933"/>
      <c r="M650" s="1933"/>
      <c r="N650" s="1933"/>
      <c r="O650" s="1933"/>
      <c r="P650" s="1933"/>
      <c r="Q650" s="1933"/>
      <c r="R650" s="1933"/>
      <c r="S650" s="1933"/>
      <c r="T650" s="1933"/>
      <c r="U650" s="1933"/>
      <c r="V650" s="1933"/>
      <c r="W650" s="1933"/>
      <c r="X650" s="1933"/>
      <c r="Y650" s="1933"/>
      <c r="Z650" s="1933"/>
    </row>
    <row r="651" spans="1:26" ht="12" x14ac:dyDescent="0.2">
      <c r="A651" s="1933"/>
      <c r="B651" s="1933"/>
      <c r="C651" s="1933"/>
      <c r="D651" s="1933"/>
      <c r="E651" s="1933"/>
      <c r="F651" s="1933"/>
      <c r="G651" s="1934"/>
      <c r="H651" s="1933"/>
      <c r="I651" s="1933"/>
      <c r="J651" s="1933"/>
      <c r="K651" s="1933"/>
      <c r="L651" s="1933"/>
      <c r="M651" s="1933"/>
      <c r="N651" s="1933"/>
      <c r="O651" s="1933"/>
      <c r="P651" s="1933"/>
      <c r="Q651" s="1933"/>
      <c r="R651" s="1933"/>
      <c r="S651" s="1933"/>
      <c r="T651" s="1933"/>
      <c r="U651" s="1933"/>
      <c r="V651" s="1933"/>
      <c r="W651" s="1933"/>
      <c r="X651" s="1933"/>
      <c r="Y651" s="1933"/>
      <c r="Z651" s="1933"/>
    </row>
    <row r="652" spans="1:26" ht="12" x14ac:dyDescent="0.2">
      <c r="A652" s="1933"/>
      <c r="B652" s="1933"/>
      <c r="C652" s="1933"/>
      <c r="D652" s="1933"/>
      <c r="E652" s="1933"/>
      <c r="F652" s="1933"/>
      <c r="G652" s="1934"/>
      <c r="H652" s="1933"/>
      <c r="I652" s="1933"/>
      <c r="J652" s="1933"/>
      <c r="K652" s="1933"/>
      <c r="L652" s="1933"/>
      <c r="M652" s="1933"/>
      <c r="N652" s="1933"/>
      <c r="O652" s="1933"/>
      <c r="P652" s="1933"/>
      <c r="Q652" s="1933"/>
      <c r="R652" s="1933"/>
      <c r="S652" s="1933"/>
      <c r="T652" s="1933"/>
      <c r="U652" s="1933"/>
      <c r="V652" s="1933"/>
      <c r="W652" s="1933"/>
      <c r="X652" s="1933"/>
      <c r="Y652" s="1933"/>
      <c r="Z652" s="1933"/>
    </row>
    <row r="653" spans="1:26" ht="12" x14ac:dyDescent="0.2">
      <c r="A653" s="1933"/>
      <c r="B653" s="1933"/>
      <c r="C653" s="1933"/>
      <c r="D653" s="1933"/>
      <c r="E653" s="1933"/>
      <c r="F653" s="1933"/>
      <c r="G653" s="1934"/>
      <c r="H653" s="1933"/>
      <c r="I653" s="1933"/>
      <c r="J653" s="1933"/>
      <c r="K653" s="1933"/>
      <c r="L653" s="1933"/>
      <c r="M653" s="1933"/>
      <c r="N653" s="1933"/>
      <c r="O653" s="1933"/>
      <c r="P653" s="1933"/>
      <c r="Q653" s="1933"/>
      <c r="R653" s="1933"/>
      <c r="S653" s="1933"/>
      <c r="T653" s="1933"/>
      <c r="U653" s="1933"/>
      <c r="V653" s="1933"/>
      <c r="W653" s="1933"/>
      <c r="X653" s="1933"/>
      <c r="Y653" s="1933"/>
      <c r="Z653" s="1933"/>
    </row>
    <row r="654" spans="1:26" ht="12" x14ac:dyDescent="0.2">
      <c r="A654" s="1933"/>
      <c r="B654" s="1933"/>
      <c r="C654" s="1933"/>
      <c r="D654" s="1933"/>
      <c r="E654" s="1933"/>
      <c r="F654" s="1933"/>
      <c r="G654" s="1934"/>
      <c r="H654" s="1933"/>
      <c r="I654" s="1933"/>
      <c r="J654" s="1933"/>
      <c r="K654" s="1933"/>
      <c r="L654" s="1933"/>
      <c r="M654" s="1933"/>
      <c r="N654" s="1933"/>
      <c r="O654" s="1933"/>
      <c r="P654" s="1933"/>
      <c r="Q654" s="1933"/>
      <c r="R654" s="1933"/>
      <c r="S654" s="1933"/>
      <c r="T654" s="1933"/>
      <c r="U654" s="1933"/>
      <c r="V654" s="1933"/>
      <c r="W654" s="1933"/>
      <c r="X654" s="1933"/>
      <c r="Y654" s="1933"/>
      <c r="Z654" s="1933"/>
    </row>
    <row r="655" spans="1:26" ht="12" x14ac:dyDescent="0.2">
      <c r="A655" s="1933"/>
      <c r="B655" s="1933"/>
      <c r="C655" s="1933"/>
      <c r="D655" s="1933"/>
      <c r="E655" s="1933"/>
      <c r="F655" s="1933"/>
      <c r="G655" s="1934"/>
      <c r="H655" s="1933"/>
      <c r="I655" s="1933"/>
      <c r="J655" s="1933"/>
      <c r="K655" s="1933"/>
      <c r="L655" s="1933"/>
      <c r="M655" s="1933"/>
      <c r="N655" s="1933"/>
      <c r="O655" s="1933"/>
      <c r="P655" s="1933"/>
      <c r="Q655" s="1933"/>
      <c r="R655" s="1933"/>
      <c r="S655" s="1933"/>
      <c r="T655" s="1933"/>
      <c r="U655" s="1933"/>
      <c r="V655" s="1933"/>
      <c r="W655" s="1933"/>
      <c r="X655" s="1933"/>
      <c r="Y655" s="1933"/>
      <c r="Z655" s="1933"/>
    </row>
    <row r="656" spans="1:26" ht="12" x14ac:dyDescent="0.2">
      <c r="A656" s="1933"/>
      <c r="B656" s="1933"/>
      <c r="C656" s="1933"/>
      <c r="D656" s="1933"/>
      <c r="E656" s="1933"/>
      <c r="F656" s="1933"/>
      <c r="G656" s="1934"/>
      <c r="H656" s="1933"/>
      <c r="I656" s="1933"/>
      <c r="J656" s="1933"/>
      <c r="K656" s="1933"/>
      <c r="L656" s="1933"/>
      <c r="M656" s="1933"/>
      <c r="N656" s="1933"/>
      <c r="O656" s="1933"/>
      <c r="P656" s="1933"/>
      <c r="Q656" s="1933"/>
      <c r="R656" s="1933"/>
      <c r="S656" s="1933"/>
      <c r="T656" s="1933"/>
      <c r="U656" s="1933"/>
      <c r="V656" s="1933"/>
      <c r="W656" s="1933"/>
      <c r="X656" s="1933"/>
      <c r="Y656" s="1933"/>
      <c r="Z656" s="1933"/>
    </row>
    <row r="657" spans="1:26" ht="12" x14ac:dyDescent="0.2">
      <c r="A657" s="1933"/>
      <c r="B657" s="1933"/>
      <c r="C657" s="1933"/>
      <c r="D657" s="1933"/>
      <c r="E657" s="1933"/>
      <c r="F657" s="1933"/>
      <c r="G657" s="1934"/>
      <c r="H657" s="1933"/>
      <c r="I657" s="1933"/>
      <c r="J657" s="1933"/>
      <c r="K657" s="1933"/>
      <c r="L657" s="1933"/>
      <c r="M657" s="1933"/>
      <c r="N657" s="1933"/>
      <c r="O657" s="1933"/>
      <c r="P657" s="1933"/>
      <c r="Q657" s="1933"/>
      <c r="R657" s="1933"/>
      <c r="S657" s="1933"/>
      <c r="T657" s="1933"/>
      <c r="U657" s="1933"/>
      <c r="V657" s="1933"/>
      <c r="W657" s="1933"/>
      <c r="X657" s="1933"/>
      <c r="Y657" s="1933"/>
      <c r="Z657" s="1933"/>
    </row>
    <row r="658" spans="1:26" ht="12" x14ac:dyDescent="0.2">
      <c r="A658" s="1933"/>
      <c r="B658" s="1933"/>
      <c r="C658" s="1933"/>
      <c r="D658" s="1933"/>
      <c r="E658" s="1933"/>
      <c r="F658" s="1933"/>
      <c r="G658" s="1934"/>
      <c r="H658" s="1933"/>
      <c r="I658" s="1933"/>
      <c r="J658" s="1933"/>
      <c r="K658" s="1933"/>
      <c r="L658" s="1933"/>
      <c r="M658" s="1933"/>
      <c r="N658" s="1933"/>
      <c r="O658" s="1933"/>
      <c r="P658" s="1933"/>
      <c r="Q658" s="1933"/>
      <c r="R658" s="1933"/>
      <c r="S658" s="1933"/>
      <c r="T658" s="1933"/>
      <c r="U658" s="1933"/>
      <c r="V658" s="1933"/>
      <c r="W658" s="1933"/>
      <c r="X658" s="1933"/>
      <c r="Y658" s="1933"/>
      <c r="Z658" s="1933"/>
    </row>
    <row r="659" spans="1:26" ht="12" x14ac:dyDescent="0.2">
      <c r="A659" s="1933"/>
      <c r="B659" s="1933"/>
      <c r="C659" s="1933"/>
      <c r="D659" s="1933"/>
      <c r="E659" s="1933"/>
      <c r="F659" s="1933"/>
      <c r="G659" s="1934"/>
      <c r="H659" s="1933"/>
      <c r="I659" s="1933"/>
      <c r="J659" s="1933"/>
      <c r="K659" s="1933"/>
      <c r="L659" s="1933"/>
      <c r="M659" s="1933"/>
      <c r="N659" s="1933"/>
      <c r="O659" s="1933"/>
      <c r="P659" s="1933"/>
      <c r="Q659" s="1933"/>
      <c r="R659" s="1933"/>
      <c r="S659" s="1933"/>
      <c r="T659" s="1933"/>
      <c r="U659" s="1933"/>
      <c r="V659" s="1933"/>
      <c r="W659" s="1933"/>
      <c r="X659" s="1933"/>
      <c r="Y659" s="1933"/>
      <c r="Z659" s="1933"/>
    </row>
    <row r="660" spans="1:26" ht="12" x14ac:dyDescent="0.2">
      <c r="A660" s="1933"/>
      <c r="B660" s="1933"/>
      <c r="C660" s="1933"/>
      <c r="D660" s="1933"/>
      <c r="E660" s="1933"/>
      <c r="F660" s="1933"/>
      <c r="G660" s="1934"/>
      <c r="H660" s="1933"/>
      <c r="I660" s="1933"/>
      <c r="J660" s="1933"/>
      <c r="K660" s="1933"/>
      <c r="L660" s="1933"/>
      <c r="M660" s="1933"/>
      <c r="N660" s="1933"/>
      <c r="O660" s="1933"/>
      <c r="P660" s="1933"/>
      <c r="Q660" s="1933"/>
      <c r="R660" s="1933"/>
      <c r="S660" s="1933"/>
      <c r="T660" s="1933"/>
      <c r="U660" s="1933"/>
      <c r="V660" s="1933"/>
      <c r="W660" s="1933"/>
      <c r="X660" s="1933"/>
      <c r="Y660" s="1933"/>
      <c r="Z660" s="1933"/>
    </row>
    <row r="661" spans="1:26" ht="12" x14ac:dyDescent="0.2">
      <c r="A661" s="1933"/>
      <c r="B661" s="1933"/>
      <c r="C661" s="1933"/>
      <c r="D661" s="1933"/>
      <c r="E661" s="1933"/>
      <c r="F661" s="1933"/>
      <c r="G661" s="1934"/>
      <c r="H661" s="1933"/>
      <c r="I661" s="1933"/>
      <c r="J661" s="1933"/>
      <c r="K661" s="1933"/>
      <c r="L661" s="1933"/>
      <c r="M661" s="1933"/>
      <c r="N661" s="1933"/>
      <c r="O661" s="1933"/>
      <c r="P661" s="1933"/>
      <c r="Q661" s="1933"/>
      <c r="R661" s="1933"/>
      <c r="S661" s="1933"/>
      <c r="T661" s="1933"/>
      <c r="U661" s="1933"/>
      <c r="V661" s="1933"/>
      <c r="W661" s="1933"/>
      <c r="X661" s="1933"/>
      <c r="Y661" s="1933"/>
      <c r="Z661" s="1933"/>
    </row>
    <row r="662" spans="1:26" ht="12" x14ac:dyDescent="0.2">
      <c r="A662" s="1933"/>
      <c r="B662" s="1933"/>
      <c r="C662" s="1933"/>
      <c r="D662" s="1933"/>
      <c r="E662" s="1933"/>
      <c r="F662" s="1933"/>
      <c r="G662" s="1934"/>
      <c r="H662" s="1933"/>
      <c r="I662" s="1933"/>
      <c r="J662" s="1933"/>
      <c r="K662" s="1933"/>
      <c r="L662" s="1933"/>
      <c r="M662" s="1933"/>
      <c r="N662" s="1933"/>
      <c r="O662" s="1933"/>
      <c r="P662" s="1933"/>
      <c r="Q662" s="1933"/>
      <c r="R662" s="1933"/>
      <c r="S662" s="1933"/>
      <c r="T662" s="1933"/>
      <c r="U662" s="1933"/>
      <c r="V662" s="1933"/>
      <c r="W662" s="1933"/>
      <c r="X662" s="1933"/>
      <c r="Y662" s="1933"/>
      <c r="Z662" s="1933"/>
    </row>
    <row r="663" spans="1:26" ht="12" x14ac:dyDescent="0.2">
      <c r="A663" s="1933"/>
      <c r="B663" s="1933"/>
      <c r="C663" s="1933"/>
      <c r="D663" s="1933"/>
      <c r="E663" s="1933"/>
      <c r="F663" s="1933"/>
      <c r="G663" s="1934"/>
      <c r="H663" s="1933"/>
      <c r="I663" s="1933"/>
      <c r="J663" s="1933"/>
      <c r="K663" s="1933"/>
      <c r="L663" s="1933"/>
      <c r="M663" s="1933"/>
      <c r="N663" s="1933"/>
      <c r="O663" s="1933"/>
      <c r="P663" s="1933"/>
      <c r="Q663" s="1933"/>
      <c r="R663" s="1933"/>
      <c r="S663" s="1933"/>
      <c r="T663" s="1933"/>
      <c r="U663" s="1933"/>
      <c r="V663" s="1933"/>
      <c r="W663" s="1933"/>
      <c r="X663" s="1933"/>
      <c r="Y663" s="1933"/>
      <c r="Z663" s="1933"/>
    </row>
    <row r="664" spans="1:26" ht="12" x14ac:dyDescent="0.2">
      <c r="A664" s="1933"/>
      <c r="B664" s="1933"/>
      <c r="C664" s="1933"/>
      <c r="D664" s="1933"/>
      <c r="E664" s="1933"/>
      <c r="F664" s="1933"/>
      <c r="G664" s="1934"/>
      <c r="H664" s="1933"/>
      <c r="I664" s="1933"/>
      <c r="J664" s="1933"/>
      <c r="K664" s="1933"/>
      <c r="L664" s="1933"/>
      <c r="M664" s="1933"/>
      <c r="N664" s="1933"/>
      <c r="O664" s="1933"/>
      <c r="P664" s="1933"/>
      <c r="Q664" s="1933"/>
      <c r="R664" s="1933"/>
      <c r="S664" s="1933"/>
      <c r="T664" s="1933"/>
      <c r="U664" s="1933"/>
      <c r="V664" s="1933"/>
      <c r="W664" s="1933"/>
      <c r="X664" s="1933"/>
      <c r="Y664" s="1933"/>
      <c r="Z664" s="1933"/>
    </row>
    <row r="665" spans="1:26" ht="12" x14ac:dyDescent="0.2">
      <c r="A665" s="1933"/>
      <c r="B665" s="1933"/>
      <c r="C665" s="1933"/>
      <c r="D665" s="1933"/>
      <c r="E665" s="1933"/>
      <c r="F665" s="1933"/>
      <c r="G665" s="1934"/>
      <c r="H665" s="1933"/>
      <c r="I665" s="1933"/>
      <c r="J665" s="1933"/>
      <c r="K665" s="1933"/>
      <c r="L665" s="1933"/>
      <c r="M665" s="1933"/>
      <c r="N665" s="1933"/>
      <c r="O665" s="1933"/>
      <c r="P665" s="1933"/>
      <c r="Q665" s="1933"/>
      <c r="R665" s="1933"/>
      <c r="S665" s="1933"/>
      <c r="T665" s="1933"/>
      <c r="U665" s="1933"/>
      <c r="V665" s="1933"/>
      <c r="W665" s="1933"/>
      <c r="X665" s="1933"/>
      <c r="Y665" s="1933"/>
      <c r="Z665" s="1933"/>
    </row>
    <row r="666" spans="1:26" ht="12" x14ac:dyDescent="0.2">
      <c r="A666" s="1933"/>
      <c r="B666" s="1933"/>
      <c r="C666" s="1933"/>
      <c r="D666" s="1933"/>
      <c r="E666" s="1933"/>
      <c r="F666" s="1933"/>
      <c r="G666" s="1934"/>
      <c r="H666" s="1933"/>
      <c r="I666" s="1933"/>
      <c r="J666" s="1933"/>
      <c r="K666" s="1933"/>
      <c r="L666" s="1933"/>
      <c r="M666" s="1933"/>
      <c r="N666" s="1933"/>
      <c r="O666" s="1933"/>
      <c r="P666" s="1933"/>
      <c r="Q666" s="1933"/>
      <c r="R666" s="1933"/>
      <c r="S666" s="1933"/>
      <c r="T666" s="1933"/>
      <c r="U666" s="1933"/>
      <c r="V666" s="1933"/>
      <c r="W666" s="1933"/>
      <c r="X666" s="1933"/>
      <c r="Y666" s="1933"/>
      <c r="Z666" s="1933"/>
    </row>
    <row r="667" spans="1:26" ht="12" x14ac:dyDescent="0.2">
      <c r="A667" s="1933"/>
      <c r="B667" s="1933"/>
      <c r="C667" s="1933"/>
      <c r="D667" s="1933"/>
      <c r="E667" s="1933"/>
      <c r="F667" s="1933"/>
      <c r="G667" s="1934"/>
      <c r="H667" s="1933"/>
      <c r="I667" s="1933"/>
      <c r="J667" s="1933"/>
      <c r="K667" s="1933"/>
      <c r="L667" s="1933"/>
      <c r="M667" s="1933"/>
      <c r="N667" s="1933"/>
      <c r="O667" s="1933"/>
      <c r="P667" s="1933"/>
      <c r="Q667" s="1933"/>
      <c r="R667" s="1933"/>
      <c r="S667" s="1933"/>
      <c r="T667" s="1933"/>
      <c r="U667" s="1933"/>
      <c r="V667" s="1933"/>
      <c r="W667" s="1933"/>
      <c r="X667" s="1933"/>
      <c r="Y667" s="1933"/>
      <c r="Z667" s="1933"/>
    </row>
    <row r="668" spans="1:26" ht="12" x14ac:dyDescent="0.2">
      <c r="A668" s="1933"/>
      <c r="B668" s="1933"/>
      <c r="C668" s="1933"/>
      <c r="D668" s="1933"/>
      <c r="E668" s="1933"/>
      <c r="F668" s="1933"/>
      <c r="G668" s="1934"/>
      <c r="H668" s="1933"/>
      <c r="I668" s="1933"/>
      <c r="J668" s="1933"/>
      <c r="K668" s="1933"/>
      <c r="L668" s="1933"/>
      <c r="M668" s="1933"/>
      <c r="N668" s="1933"/>
      <c r="O668" s="1933"/>
      <c r="P668" s="1933"/>
      <c r="Q668" s="1933"/>
      <c r="R668" s="1933"/>
      <c r="S668" s="1933"/>
      <c r="T668" s="1933"/>
      <c r="U668" s="1933"/>
      <c r="V668" s="1933"/>
      <c r="W668" s="1933"/>
      <c r="X668" s="1933"/>
      <c r="Y668" s="1933"/>
      <c r="Z668" s="1933"/>
    </row>
    <row r="669" spans="1:26" ht="12" x14ac:dyDescent="0.2">
      <c r="A669" s="1933"/>
      <c r="B669" s="1933"/>
      <c r="C669" s="1933"/>
      <c r="D669" s="1933"/>
      <c r="E669" s="1933"/>
      <c r="F669" s="1933"/>
      <c r="G669" s="1934"/>
      <c r="H669" s="1933"/>
      <c r="I669" s="1933"/>
      <c r="J669" s="1933"/>
      <c r="K669" s="1933"/>
      <c r="L669" s="1933"/>
      <c r="M669" s="1933"/>
      <c r="N669" s="1933"/>
      <c r="O669" s="1933"/>
      <c r="P669" s="1933"/>
      <c r="Q669" s="1933"/>
      <c r="R669" s="1933"/>
      <c r="S669" s="1933"/>
      <c r="T669" s="1933"/>
      <c r="U669" s="1933"/>
      <c r="V669" s="1933"/>
      <c r="W669" s="1933"/>
      <c r="X669" s="1933"/>
      <c r="Y669" s="1933"/>
      <c r="Z669" s="1933"/>
    </row>
    <row r="670" spans="1:26" ht="12" x14ac:dyDescent="0.2">
      <c r="A670" s="1933"/>
      <c r="B670" s="1933"/>
      <c r="C670" s="1933"/>
      <c r="D670" s="1933"/>
      <c r="E670" s="1933"/>
      <c r="F670" s="1933"/>
      <c r="G670" s="1934"/>
      <c r="H670" s="1933"/>
      <c r="I670" s="1933"/>
      <c r="J670" s="1933"/>
      <c r="K670" s="1933"/>
      <c r="L670" s="1933"/>
      <c r="M670" s="1933"/>
      <c r="N670" s="1933"/>
      <c r="O670" s="1933"/>
      <c r="P670" s="1933"/>
      <c r="Q670" s="1933"/>
      <c r="R670" s="1933"/>
      <c r="S670" s="1933"/>
      <c r="T670" s="1933"/>
      <c r="U670" s="1933"/>
      <c r="V670" s="1933"/>
      <c r="W670" s="1933"/>
      <c r="X670" s="1933"/>
      <c r="Y670" s="1933"/>
      <c r="Z670" s="1933"/>
    </row>
    <row r="671" spans="1:26" ht="12" x14ac:dyDescent="0.2">
      <c r="A671" s="1933"/>
      <c r="B671" s="1933"/>
      <c r="C671" s="1933"/>
      <c r="D671" s="1933"/>
      <c r="E671" s="1933"/>
      <c r="F671" s="1933"/>
      <c r="G671" s="1934"/>
      <c r="H671" s="1933"/>
      <c r="I671" s="1933"/>
      <c r="J671" s="1933"/>
      <c r="K671" s="1933"/>
      <c r="L671" s="1933"/>
      <c r="M671" s="1933"/>
      <c r="N671" s="1933"/>
      <c r="O671" s="1933"/>
      <c r="P671" s="1933"/>
      <c r="Q671" s="1933"/>
      <c r="R671" s="1933"/>
      <c r="S671" s="1933"/>
      <c r="T671" s="1933"/>
      <c r="U671" s="1933"/>
      <c r="V671" s="1933"/>
      <c r="W671" s="1933"/>
      <c r="X671" s="1933"/>
      <c r="Y671" s="1933"/>
      <c r="Z671" s="1933"/>
    </row>
    <row r="672" spans="1:26" ht="12" x14ac:dyDescent="0.2">
      <c r="A672" s="1933"/>
      <c r="B672" s="1933"/>
      <c r="C672" s="1933"/>
      <c r="D672" s="1933"/>
      <c r="E672" s="1933"/>
      <c r="F672" s="1933"/>
      <c r="G672" s="1934"/>
      <c r="H672" s="1933"/>
      <c r="I672" s="1933"/>
      <c r="J672" s="1933"/>
      <c r="K672" s="1933"/>
      <c r="L672" s="1933"/>
      <c r="M672" s="1933"/>
      <c r="N672" s="1933"/>
      <c r="O672" s="1933"/>
      <c r="P672" s="1933"/>
      <c r="Q672" s="1933"/>
      <c r="R672" s="1933"/>
      <c r="S672" s="1933"/>
      <c r="T672" s="1933"/>
      <c r="U672" s="1933"/>
      <c r="V672" s="1933"/>
      <c r="W672" s="1933"/>
      <c r="X672" s="1933"/>
      <c r="Y672" s="1933"/>
      <c r="Z672" s="1933"/>
    </row>
    <row r="673" spans="1:26" ht="12" x14ac:dyDescent="0.2">
      <c r="A673" s="1933"/>
      <c r="B673" s="1933"/>
      <c r="C673" s="1933"/>
      <c r="D673" s="1933"/>
      <c r="E673" s="1933"/>
      <c r="F673" s="1933"/>
      <c r="G673" s="1934"/>
      <c r="H673" s="1933"/>
      <c r="I673" s="1933"/>
      <c r="J673" s="1933"/>
      <c r="K673" s="1933"/>
      <c r="L673" s="1933"/>
      <c r="M673" s="1933"/>
      <c r="N673" s="1933"/>
      <c r="O673" s="1933"/>
      <c r="P673" s="1933"/>
      <c r="Q673" s="1933"/>
      <c r="R673" s="1933"/>
      <c r="S673" s="1933"/>
      <c r="T673" s="1933"/>
      <c r="U673" s="1933"/>
      <c r="V673" s="1933"/>
      <c r="W673" s="1933"/>
      <c r="X673" s="1933"/>
      <c r="Y673" s="1933"/>
      <c r="Z673" s="1933"/>
    </row>
    <row r="674" spans="1:26" ht="12" x14ac:dyDescent="0.2">
      <c r="A674" s="1933"/>
      <c r="B674" s="1933"/>
      <c r="C674" s="1933"/>
      <c r="D674" s="1933"/>
      <c r="E674" s="1933"/>
      <c r="F674" s="1933"/>
      <c r="G674" s="1934"/>
      <c r="H674" s="1933"/>
      <c r="I674" s="1933"/>
      <c r="J674" s="1933"/>
      <c r="K674" s="1933"/>
      <c r="L674" s="1933"/>
      <c r="M674" s="1933"/>
      <c r="N674" s="1933"/>
      <c r="O674" s="1933"/>
      <c r="P674" s="1933"/>
      <c r="Q674" s="1933"/>
      <c r="R674" s="1933"/>
      <c r="S674" s="1933"/>
      <c r="T674" s="1933"/>
      <c r="U674" s="1933"/>
      <c r="V674" s="1933"/>
      <c r="W674" s="1933"/>
      <c r="X674" s="1933"/>
      <c r="Y674" s="1933"/>
      <c r="Z674" s="1933"/>
    </row>
    <row r="675" spans="1:26" ht="12" x14ac:dyDescent="0.2">
      <c r="A675" s="1933"/>
      <c r="B675" s="1933"/>
      <c r="C675" s="1933"/>
      <c r="D675" s="1933"/>
      <c r="E675" s="1933"/>
      <c r="F675" s="1933"/>
      <c r="G675" s="1934"/>
      <c r="H675" s="1933"/>
      <c r="I675" s="1933"/>
      <c r="J675" s="1933"/>
      <c r="K675" s="1933"/>
      <c r="L675" s="1933"/>
      <c r="M675" s="1933"/>
      <c r="N675" s="1933"/>
      <c r="O675" s="1933"/>
      <c r="P675" s="1933"/>
      <c r="Q675" s="1933"/>
      <c r="R675" s="1933"/>
      <c r="S675" s="1933"/>
      <c r="T675" s="1933"/>
      <c r="U675" s="1933"/>
      <c r="V675" s="1933"/>
      <c r="W675" s="1933"/>
      <c r="X675" s="1933"/>
      <c r="Y675" s="1933"/>
      <c r="Z675" s="1933"/>
    </row>
    <row r="676" spans="1:26" ht="12" x14ac:dyDescent="0.2">
      <c r="A676" s="1933"/>
      <c r="B676" s="1933"/>
      <c r="C676" s="1933"/>
      <c r="D676" s="1933"/>
      <c r="E676" s="1933"/>
      <c r="F676" s="1933"/>
      <c r="G676" s="1934"/>
      <c r="H676" s="1933"/>
      <c r="I676" s="1933"/>
      <c r="J676" s="1933"/>
      <c r="K676" s="1933"/>
      <c r="L676" s="1933"/>
      <c r="M676" s="1933"/>
      <c r="N676" s="1933"/>
      <c r="O676" s="1933"/>
      <c r="P676" s="1933"/>
      <c r="Q676" s="1933"/>
      <c r="R676" s="1933"/>
      <c r="S676" s="1933"/>
      <c r="T676" s="1933"/>
      <c r="U676" s="1933"/>
      <c r="V676" s="1933"/>
      <c r="W676" s="1933"/>
      <c r="X676" s="1933"/>
      <c r="Y676" s="1933"/>
      <c r="Z676" s="1933"/>
    </row>
    <row r="677" spans="1:26" ht="12" x14ac:dyDescent="0.2">
      <c r="A677" s="1933"/>
      <c r="B677" s="1933"/>
      <c r="C677" s="1933"/>
      <c r="D677" s="1933"/>
      <c r="E677" s="1933"/>
      <c r="F677" s="1933"/>
      <c r="G677" s="1934"/>
      <c r="H677" s="1933"/>
      <c r="I677" s="1933"/>
      <c r="J677" s="1933"/>
      <c r="K677" s="1933"/>
      <c r="L677" s="1933"/>
      <c r="M677" s="1933"/>
      <c r="N677" s="1933"/>
      <c r="O677" s="1933"/>
      <c r="P677" s="1933"/>
      <c r="Q677" s="1933"/>
      <c r="R677" s="1933"/>
      <c r="S677" s="1933"/>
      <c r="T677" s="1933"/>
      <c r="U677" s="1933"/>
      <c r="V677" s="1933"/>
      <c r="W677" s="1933"/>
      <c r="X677" s="1933"/>
      <c r="Y677" s="1933"/>
      <c r="Z677" s="1933"/>
    </row>
    <row r="678" spans="1:26" ht="12" x14ac:dyDescent="0.2">
      <c r="A678" s="1933"/>
      <c r="B678" s="1933"/>
      <c r="C678" s="1933"/>
      <c r="D678" s="1933"/>
      <c r="E678" s="1933"/>
      <c r="F678" s="1933"/>
      <c r="G678" s="1934"/>
      <c r="H678" s="1933"/>
      <c r="I678" s="1933"/>
      <c r="J678" s="1933"/>
      <c r="K678" s="1933"/>
      <c r="L678" s="1933"/>
      <c r="M678" s="1933"/>
      <c r="N678" s="1933"/>
      <c r="O678" s="1933"/>
      <c r="P678" s="1933"/>
      <c r="Q678" s="1933"/>
      <c r="R678" s="1933"/>
      <c r="S678" s="1933"/>
      <c r="T678" s="1933"/>
      <c r="U678" s="1933"/>
      <c r="V678" s="1933"/>
      <c r="W678" s="1933"/>
      <c r="X678" s="1933"/>
      <c r="Y678" s="1933"/>
      <c r="Z678" s="1933"/>
    </row>
    <row r="679" spans="1:26" ht="12" x14ac:dyDescent="0.2">
      <c r="A679" s="1933"/>
      <c r="B679" s="1933"/>
      <c r="C679" s="1933"/>
      <c r="D679" s="1933"/>
      <c r="E679" s="1933"/>
      <c r="F679" s="1933"/>
      <c r="G679" s="1934"/>
      <c r="H679" s="1933"/>
      <c r="I679" s="1933"/>
      <c r="J679" s="1933"/>
      <c r="K679" s="1933"/>
      <c r="L679" s="1933"/>
      <c r="M679" s="1933"/>
      <c r="N679" s="1933"/>
      <c r="O679" s="1933"/>
      <c r="P679" s="1933"/>
      <c r="Q679" s="1933"/>
      <c r="R679" s="1933"/>
      <c r="S679" s="1933"/>
      <c r="T679" s="1933"/>
      <c r="U679" s="1933"/>
      <c r="V679" s="1933"/>
      <c r="W679" s="1933"/>
      <c r="X679" s="1933"/>
      <c r="Y679" s="1933"/>
      <c r="Z679" s="1933"/>
    </row>
    <row r="680" spans="1:26" ht="12" x14ac:dyDescent="0.2">
      <c r="A680" s="1933"/>
      <c r="B680" s="1933"/>
      <c r="C680" s="1933"/>
      <c r="D680" s="1933"/>
      <c r="E680" s="1933"/>
      <c r="F680" s="1933"/>
      <c r="G680" s="1934"/>
      <c r="H680" s="1933"/>
      <c r="I680" s="1933"/>
      <c r="J680" s="1933"/>
      <c r="K680" s="1933"/>
      <c r="L680" s="1933"/>
      <c r="M680" s="1933"/>
      <c r="N680" s="1933"/>
      <c r="O680" s="1933"/>
      <c r="P680" s="1933"/>
      <c r="Q680" s="1933"/>
      <c r="R680" s="1933"/>
      <c r="S680" s="1933"/>
      <c r="T680" s="1933"/>
      <c r="U680" s="1933"/>
      <c r="V680" s="1933"/>
      <c r="W680" s="1933"/>
      <c r="X680" s="1933"/>
      <c r="Y680" s="1933"/>
      <c r="Z680" s="1933"/>
    </row>
    <row r="681" spans="1:26" ht="12" x14ac:dyDescent="0.2">
      <c r="A681" s="1933"/>
      <c r="B681" s="1933"/>
      <c r="C681" s="1933"/>
      <c r="D681" s="1933"/>
      <c r="E681" s="1933"/>
      <c r="F681" s="1933"/>
      <c r="G681" s="1934"/>
      <c r="H681" s="1933"/>
      <c r="I681" s="1933"/>
      <c r="J681" s="1933"/>
      <c r="K681" s="1933"/>
      <c r="L681" s="1933"/>
      <c r="M681" s="1933"/>
      <c r="N681" s="1933"/>
      <c r="O681" s="1933"/>
      <c r="P681" s="1933"/>
      <c r="Q681" s="1933"/>
      <c r="R681" s="1933"/>
      <c r="S681" s="1933"/>
      <c r="T681" s="1933"/>
      <c r="U681" s="1933"/>
      <c r="V681" s="1933"/>
      <c r="W681" s="1933"/>
      <c r="X681" s="1933"/>
      <c r="Y681" s="1933"/>
      <c r="Z681" s="1933"/>
    </row>
    <row r="682" spans="1:26" ht="12" x14ac:dyDescent="0.2">
      <c r="A682" s="1933"/>
      <c r="B682" s="1933"/>
      <c r="C682" s="1933"/>
      <c r="D682" s="1933"/>
      <c r="E682" s="1933"/>
      <c r="F682" s="1933"/>
      <c r="G682" s="1934"/>
      <c r="H682" s="1933"/>
      <c r="I682" s="1933"/>
      <c r="J682" s="1933"/>
      <c r="K682" s="1933"/>
      <c r="L682" s="1933"/>
      <c r="M682" s="1933"/>
      <c r="N682" s="1933"/>
      <c r="O682" s="1933"/>
      <c r="P682" s="1933"/>
      <c r="Q682" s="1933"/>
      <c r="R682" s="1933"/>
      <c r="S682" s="1933"/>
      <c r="T682" s="1933"/>
      <c r="U682" s="1933"/>
      <c r="V682" s="1933"/>
      <c r="W682" s="1933"/>
      <c r="X682" s="1933"/>
      <c r="Y682" s="1933"/>
      <c r="Z682" s="1933"/>
    </row>
    <row r="683" spans="1:26" ht="12" x14ac:dyDescent="0.2">
      <c r="A683" s="1933"/>
      <c r="B683" s="1933"/>
      <c r="C683" s="1933"/>
      <c r="D683" s="1933"/>
      <c r="E683" s="1933"/>
      <c r="F683" s="1933"/>
      <c r="G683" s="1934"/>
      <c r="H683" s="1933"/>
      <c r="I683" s="1933"/>
      <c r="J683" s="1933"/>
      <c r="K683" s="1933"/>
      <c r="L683" s="1933"/>
      <c r="M683" s="1933"/>
      <c r="N683" s="1933"/>
      <c r="O683" s="1933"/>
      <c r="P683" s="1933"/>
      <c r="Q683" s="1933"/>
      <c r="R683" s="1933"/>
      <c r="S683" s="1933"/>
      <c r="T683" s="1933"/>
      <c r="U683" s="1933"/>
      <c r="V683" s="1933"/>
      <c r="W683" s="1933"/>
      <c r="X683" s="1933"/>
      <c r="Y683" s="1933"/>
      <c r="Z683" s="1933"/>
    </row>
    <row r="684" spans="1:26" ht="12" x14ac:dyDescent="0.2">
      <c r="A684" s="1933"/>
      <c r="B684" s="1933"/>
      <c r="C684" s="1933"/>
      <c r="D684" s="1933"/>
      <c r="E684" s="1933"/>
      <c r="F684" s="1933"/>
      <c r="G684" s="1934"/>
      <c r="H684" s="1933"/>
      <c r="I684" s="1933"/>
      <c r="J684" s="1933"/>
      <c r="K684" s="1933"/>
      <c r="L684" s="1933"/>
      <c r="M684" s="1933"/>
      <c r="N684" s="1933"/>
      <c r="O684" s="1933"/>
      <c r="P684" s="1933"/>
      <c r="Q684" s="1933"/>
      <c r="R684" s="1933"/>
      <c r="S684" s="1933"/>
      <c r="T684" s="1933"/>
      <c r="U684" s="1933"/>
      <c r="V684" s="1933"/>
      <c r="W684" s="1933"/>
      <c r="X684" s="1933"/>
      <c r="Y684" s="1933"/>
      <c r="Z684" s="1933"/>
    </row>
    <row r="685" spans="1:26" ht="12" x14ac:dyDescent="0.2">
      <c r="A685" s="1933"/>
      <c r="B685" s="1933"/>
      <c r="C685" s="1933"/>
      <c r="D685" s="1933"/>
      <c r="E685" s="1933"/>
      <c r="F685" s="1933"/>
      <c r="G685" s="1934"/>
      <c r="H685" s="1933"/>
      <c r="I685" s="1933"/>
      <c r="J685" s="1933"/>
      <c r="K685" s="1933"/>
      <c r="L685" s="1933"/>
      <c r="M685" s="1933"/>
      <c r="N685" s="1933"/>
      <c r="O685" s="1933"/>
      <c r="P685" s="1933"/>
      <c r="Q685" s="1933"/>
      <c r="R685" s="1933"/>
      <c r="S685" s="1933"/>
      <c r="T685" s="1933"/>
      <c r="U685" s="1933"/>
      <c r="V685" s="1933"/>
      <c r="W685" s="1933"/>
      <c r="X685" s="1933"/>
      <c r="Y685" s="1933"/>
      <c r="Z685" s="1933"/>
    </row>
    <row r="686" spans="1:26" ht="12" x14ac:dyDescent="0.2">
      <c r="A686" s="1933"/>
      <c r="B686" s="1933"/>
      <c r="C686" s="1933"/>
      <c r="D686" s="1933"/>
      <c r="E686" s="1933"/>
      <c r="F686" s="1933"/>
      <c r="G686" s="1934"/>
      <c r="H686" s="1933"/>
      <c r="I686" s="1933"/>
      <c r="J686" s="1933"/>
      <c r="K686" s="1933"/>
      <c r="L686" s="1933"/>
      <c r="M686" s="1933"/>
      <c r="N686" s="1933"/>
      <c r="O686" s="1933"/>
      <c r="P686" s="1933"/>
      <c r="Q686" s="1933"/>
      <c r="R686" s="1933"/>
      <c r="S686" s="1933"/>
      <c r="T686" s="1933"/>
      <c r="U686" s="1933"/>
      <c r="V686" s="1933"/>
      <c r="W686" s="1933"/>
      <c r="X686" s="1933"/>
      <c r="Y686" s="1933"/>
      <c r="Z686" s="1933"/>
    </row>
    <row r="687" spans="1:26" ht="12" x14ac:dyDescent="0.2">
      <c r="A687" s="1933"/>
      <c r="B687" s="1933"/>
      <c r="C687" s="1933"/>
      <c r="D687" s="1933"/>
      <c r="E687" s="1933"/>
      <c r="F687" s="1933"/>
      <c r="G687" s="1934"/>
      <c r="H687" s="1933"/>
      <c r="I687" s="1933"/>
      <c r="J687" s="1933"/>
      <c r="K687" s="1933"/>
      <c r="L687" s="1933"/>
      <c r="M687" s="1933"/>
      <c r="N687" s="1933"/>
      <c r="O687" s="1933"/>
      <c r="P687" s="1933"/>
      <c r="Q687" s="1933"/>
      <c r="R687" s="1933"/>
      <c r="S687" s="1933"/>
      <c r="T687" s="1933"/>
      <c r="U687" s="1933"/>
      <c r="V687" s="1933"/>
      <c r="W687" s="1933"/>
      <c r="X687" s="1933"/>
      <c r="Y687" s="1933"/>
      <c r="Z687" s="1933"/>
    </row>
    <row r="688" spans="1:26" ht="12" x14ac:dyDescent="0.2">
      <c r="A688" s="1933"/>
      <c r="B688" s="1933"/>
      <c r="C688" s="1933"/>
      <c r="D688" s="1933"/>
      <c r="E688" s="1933"/>
      <c r="F688" s="1933"/>
      <c r="G688" s="1934"/>
      <c r="H688" s="1933"/>
      <c r="I688" s="1933"/>
      <c r="J688" s="1933"/>
      <c r="K688" s="1933"/>
      <c r="L688" s="1933"/>
      <c r="M688" s="1933"/>
      <c r="N688" s="1933"/>
      <c r="O688" s="1933"/>
      <c r="P688" s="1933"/>
      <c r="Q688" s="1933"/>
      <c r="R688" s="1933"/>
      <c r="S688" s="1933"/>
      <c r="T688" s="1933"/>
      <c r="U688" s="1933"/>
      <c r="V688" s="1933"/>
      <c r="W688" s="1933"/>
      <c r="X688" s="1933"/>
      <c r="Y688" s="1933"/>
      <c r="Z688" s="1933"/>
    </row>
    <row r="689" spans="1:26" ht="12" x14ac:dyDescent="0.2">
      <c r="A689" s="1933"/>
      <c r="B689" s="1933"/>
      <c r="C689" s="1933"/>
      <c r="D689" s="1933"/>
      <c r="E689" s="1933"/>
      <c r="F689" s="1933"/>
      <c r="G689" s="1934"/>
      <c r="H689" s="1933"/>
      <c r="I689" s="1933"/>
      <c r="J689" s="1933"/>
      <c r="K689" s="1933"/>
      <c r="L689" s="1933"/>
      <c r="M689" s="1933"/>
      <c r="N689" s="1933"/>
      <c r="O689" s="1933"/>
      <c r="P689" s="1933"/>
      <c r="Q689" s="1933"/>
      <c r="R689" s="1933"/>
      <c r="S689" s="1933"/>
      <c r="T689" s="1933"/>
      <c r="U689" s="1933"/>
      <c r="V689" s="1933"/>
      <c r="W689" s="1933"/>
      <c r="X689" s="1933"/>
      <c r="Y689" s="1933"/>
      <c r="Z689" s="1933"/>
    </row>
    <row r="690" spans="1:26" ht="12" x14ac:dyDescent="0.2">
      <c r="A690" s="1933"/>
      <c r="B690" s="1933"/>
      <c r="C690" s="1933"/>
      <c r="D690" s="1933"/>
      <c r="E690" s="1933"/>
      <c r="F690" s="1933"/>
      <c r="G690" s="1934"/>
      <c r="H690" s="1933"/>
      <c r="I690" s="1933"/>
      <c r="J690" s="1933"/>
      <c r="K690" s="1933"/>
      <c r="L690" s="1933"/>
      <c r="M690" s="1933"/>
      <c r="N690" s="1933"/>
      <c r="O690" s="1933"/>
      <c r="P690" s="1933"/>
      <c r="Q690" s="1933"/>
      <c r="R690" s="1933"/>
      <c r="S690" s="1933"/>
      <c r="T690" s="1933"/>
      <c r="U690" s="1933"/>
      <c r="V690" s="1933"/>
      <c r="W690" s="1933"/>
      <c r="X690" s="1933"/>
      <c r="Y690" s="1933"/>
      <c r="Z690" s="1933"/>
    </row>
    <row r="691" spans="1:26" ht="12" x14ac:dyDescent="0.2">
      <c r="A691" s="1933"/>
      <c r="B691" s="1933"/>
      <c r="C691" s="1933"/>
      <c r="D691" s="1933"/>
      <c r="E691" s="1933"/>
      <c r="F691" s="1933"/>
      <c r="G691" s="1934"/>
      <c r="H691" s="1933"/>
      <c r="I691" s="1933"/>
      <c r="J691" s="1933"/>
      <c r="K691" s="1933"/>
      <c r="L691" s="1933"/>
      <c r="M691" s="1933"/>
      <c r="N691" s="1933"/>
      <c r="O691" s="1933"/>
      <c r="P691" s="1933"/>
      <c r="Q691" s="1933"/>
      <c r="R691" s="1933"/>
      <c r="S691" s="1933"/>
      <c r="T691" s="1933"/>
      <c r="U691" s="1933"/>
      <c r="V691" s="1933"/>
      <c r="W691" s="1933"/>
      <c r="X691" s="1933"/>
      <c r="Y691" s="1933"/>
      <c r="Z691" s="1933"/>
    </row>
    <row r="692" spans="1:26" ht="12" x14ac:dyDescent="0.2">
      <c r="A692" s="1933"/>
      <c r="B692" s="1933"/>
      <c r="C692" s="1933"/>
      <c r="D692" s="1933"/>
      <c r="E692" s="1933"/>
      <c r="F692" s="1933"/>
      <c r="G692" s="1934"/>
      <c r="H692" s="1933"/>
      <c r="I692" s="1933"/>
      <c r="J692" s="1933"/>
      <c r="K692" s="1933"/>
      <c r="L692" s="1933"/>
      <c r="M692" s="1933"/>
      <c r="N692" s="1933"/>
      <c r="O692" s="1933"/>
      <c r="P692" s="1933"/>
      <c r="Q692" s="1933"/>
      <c r="R692" s="1933"/>
      <c r="S692" s="1933"/>
      <c r="T692" s="1933"/>
      <c r="U692" s="1933"/>
      <c r="V692" s="1933"/>
      <c r="W692" s="1933"/>
      <c r="X692" s="1933"/>
      <c r="Y692" s="1933"/>
      <c r="Z692" s="1933"/>
    </row>
    <row r="693" spans="1:26" ht="12" x14ac:dyDescent="0.2">
      <c r="A693" s="1933"/>
      <c r="B693" s="1933"/>
      <c r="C693" s="1933"/>
      <c r="D693" s="1933"/>
      <c r="E693" s="1933"/>
      <c r="F693" s="1933"/>
      <c r="G693" s="1934"/>
      <c r="H693" s="1933"/>
      <c r="I693" s="1933"/>
      <c r="J693" s="1933"/>
      <c r="K693" s="1933"/>
      <c r="L693" s="1933"/>
      <c r="M693" s="1933"/>
      <c r="N693" s="1933"/>
      <c r="O693" s="1933"/>
      <c r="P693" s="1933"/>
      <c r="Q693" s="1933"/>
      <c r="R693" s="1933"/>
      <c r="S693" s="1933"/>
      <c r="T693" s="1933"/>
      <c r="U693" s="1933"/>
      <c r="V693" s="1933"/>
      <c r="W693" s="1933"/>
      <c r="X693" s="1933"/>
      <c r="Y693" s="1933"/>
      <c r="Z693" s="1933"/>
    </row>
    <row r="694" spans="1:26" ht="12" x14ac:dyDescent="0.2">
      <c r="A694" s="1933"/>
      <c r="B694" s="1933"/>
      <c r="C694" s="1933"/>
      <c r="D694" s="1933"/>
      <c r="E694" s="1933"/>
      <c r="F694" s="1933"/>
      <c r="G694" s="1934"/>
      <c r="H694" s="1933"/>
      <c r="I694" s="1933"/>
      <c r="J694" s="1933"/>
      <c r="K694" s="1933"/>
      <c r="L694" s="1933"/>
      <c r="M694" s="1933"/>
      <c r="N694" s="1933"/>
      <c r="O694" s="1933"/>
      <c r="P694" s="1933"/>
      <c r="Q694" s="1933"/>
      <c r="R694" s="1933"/>
      <c r="S694" s="1933"/>
      <c r="T694" s="1933"/>
      <c r="U694" s="1933"/>
      <c r="V694" s="1933"/>
      <c r="W694" s="1933"/>
      <c r="X694" s="1933"/>
      <c r="Y694" s="1933"/>
      <c r="Z694" s="1933"/>
    </row>
    <row r="695" spans="1:26" ht="12" x14ac:dyDescent="0.2">
      <c r="A695" s="1933"/>
      <c r="B695" s="1933"/>
      <c r="C695" s="1933"/>
      <c r="D695" s="1933"/>
      <c r="E695" s="1933"/>
      <c r="F695" s="1933"/>
      <c r="G695" s="1934"/>
      <c r="H695" s="1933"/>
      <c r="I695" s="1933"/>
      <c r="J695" s="1933"/>
      <c r="K695" s="1933"/>
      <c r="L695" s="1933"/>
      <c r="M695" s="1933"/>
      <c r="N695" s="1933"/>
      <c r="O695" s="1933"/>
      <c r="P695" s="1933"/>
      <c r="Q695" s="1933"/>
      <c r="R695" s="1933"/>
      <c r="S695" s="1933"/>
      <c r="T695" s="1933"/>
      <c r="U695" s="1933"/>
      <c r="V695" s="1933"/>
      <c r="W695" s="1933"/>
      <c r="X695" s="1933"/>
      <c r="Y695" s="1933"/>
      <c r="Z695" s="1933"/>
    </row>
    <row r="696" spans="1:26" ht="12" x14ac:dyDescent="0.2">
      <c r="A696" s="1933"/>
      <c r="B696" s="1933"/>
      <c r="C696" s="1933"/>
      <c r="D696" s="1933"/>
      <c r="E696" s="1933"/>
      <c r="F696" s="1933"/>
      <c r="G696" s="1934"/>
      <c r="H696" s="1933"/>
      <c r="I696" s="1933"/>
      <c r="J696" s="1933"/>
      <c r="K696" s="1933"/>
      <c r="L696" s="1933"/>
      <c r="M696" s="1933"/>
      <c r="N696" s="1933"/>
      <c r="O696" s="1933"/>
      <c r="P696" s="1933"/>
      <c r="Q696" s="1933"/>
      <c r="R696" s="1933"/>
      <c r="S696" s="1933"/>
      <c r="T696" s="1933"/>
      <c r="U696" s="1933"/>
      <c r="V696" s="1933"/>
      <c r="W696" s="1933"/>
      <c r="X696" s="1933"/>
      <c r="Y696" s="1933"/>
      <c r="Z696" s="1933"/>
    </row>
    <row r="697" spans="1:26" ht="12" x14ac:dyDescent="0.2">
      <c r="A697" s="1933"/>
      <c r="B697" s="1933"/>
      <c r="C697" s="1933"/>
      <c r="D697" s="1933"/>
      <c r="E697" s="1933"/>
      <c r="F697" s="1933"/>
      <c r="G697" s="1934"/>
      <c r="H697" s="1933"/>
      <c r="I697" s="1933"/>
      <c r="J697" s="1933"/>
      <c r="K697" s="1933"/>
      <c r="L697" s="1933"/>
      <c r="M697" s="1933"/>
      <c r="N697" s="1933"/>
      <c r="O697" s="1933"/>
      <c r="P697" s="1933"/>
      <c r="Q697" s="1933"/>
      <c r="R697" s="1933"/>
      <c r="S697" s="1933"/>
      <c r="T697" s="1933"/>
      <c r="U697" s="1933"/>
      <c r="V697" s="1933"/>
      <c r="W697" s="1933"/>
      <c r="X697" s="1933"/>
      <c r="Y697" s="1933"/>
      <c r="Z697" s="1933"/>
    </row>
    <row r="698" spans="1:26" ht="12" x14ac:dyDescent="0.2">
      <c r="A698" s="1933"/>
      <c r="B698" s="1933"/>
      <c r="C698" s="1933"/>
      <c r="D698" s="1933"/>
      <c r="E698" s="1933"/>
      <c r="F698" s="1933"/>
      <c r="G698" s="1934"/>
      <c r="H698" s="1933"/>
      <c r="I698" s="1933"/>
      <c r="J698" s="1933"/>
      <c r="K698" s="1933"/>
      <c r="L698" s="1933"/>
      <c r="M698" s="1933"/>
      <c r="N698" s="1933"/>
      <c r="O698" s="1933"/>
      <c r="P698" s="1933"/>
      <c r="Q698" s="1933"/>
      <c r="R698" s="1933"/>
      <c r="S698" s="1933"/>
      <c r="T698" s="1933"/>
      <c r="U698" s="1933"/>
      <c r="V698" s="1933"/>
      <c r="W698" s="1933"/>
      <c r="X698" s="1933"/>
      <c r="Y698" s="1933"/>
      <c r="Z698" s="1933"/>
    </row>
    <row r="699" spans="1:26" ht="12" x14ac:dyDescent="0.2">
      <c r="A699" s="1933"/>
      <c r="B699" s="1933"/>
      <c r="C699" s="1933"/>
      <c r="D699" s="1933"/>
      <c r="E699" s="1933"/>
      <c r="F699" s="1933"/>
      <c r="G699" s="1934"/>
      <c r="H699" s="1933"/>
      <c r="I699" s="1933"/>
      <c r="J699" s="1933"/>
      <c r="K699" s="1933"/>
      <c r="L699" s="1933"/>
      <c r="M699" s="1933"/>
      <c r="N699" s="1933"/>
      <c r="O699" s="1933"/>
      <c r="P699" s="1933"/>
      <c r="Q699" s="1933"/>
      <c r="R699" s="1933"/>
      <c r="S699" s="1933"/>
      <c r="T699" s="1933"/>
      <c r="U699" s="1933"/>
      <c r="V699" s="1933"/>
      <c r="W699" s="1933"/>
      <c r="X699" s="1933"/>
      <c r="Y699" s="1933"/>
      <c r="Z699" s="1933"/>
    </row>
    <row r="700" spans="1:26" ht="12" x14ac:dyDescent="0.2">
      <c r="A700" s="1933"/>
      <c r="B700" s="1933"/>
      <c r="C700" s="1933"/>
      <c r="D700" s="1933"/>
      <c r="E700" s="1933"/>
      <c r="F700" s="1933"/>
      <c r="G700" s="1934"/>
      <c r="H700" s="1933"/>
      <c r="I700" s="1933"/>
      <c r="J700" s="1933"/>
      <c r="K700" s="1933"/>
      <c r="L700" s="1933"/>
      <c r="M700" s="1933"/>
      <c r="N700" s="1933"/>
      <c r="O700" s="1933"/>
      <c r="P700" s="1933"/>
      <c r="Q700" s="1933"/>
      <c r="R700" s="1933"/>
      <c r="S700" s="1933"/>
      <c r="T700" s="1933"/>
      <c r="U700" s="1933"/>
      <c r="V700" s="1933"/>
      <c r="W700" s="1933"/>
      <c r="X700" s="1933"/>
      <c r="Y700" s="1933"/>
      <c r="Z700" s="1933"/>
    </row>
    <row r="701" spans="1:26" ht="12" x14ac:dyDescent="0.2">
      <c r="A701" s="1933"/>
      <c r="B701" s="1933"/>
      <c r="C701" s="1933"/>
      <c r="D701" s="1933"/>
      <c r="E701" s="1933"/>
      <c r="F701" s="1933"/>
      <c r="G701" s="1934"/>
      <c r="H701" s="1933"/>
      <c r="I701" s="1933"/>
      <c r="J701" s="1933"/>
      <c r="K701" s="1933"/>
      <c r="L701" s="1933"/>
      <c r="M701" s="1933"/>
      <c r="N701" s="1933"/>
      <c r="O701" s="1933"/>
      <c r="P701" s="1933"/>
      <c r="Q701" s="1933"/>
      <c r="R701" s="1933"/>
      <c r="S701" s="1933"/>
      <c r="T701" s="1933"/>
      <c r="U701" s="1933"/>
      <c r="V701" s="1933"/>
      <c r="W701" s="1933"/>
      <c r="X701" s="1933"/>
      <c r="Y701" s="1933"/>
      <c r="Z701" s="1933"/>
    </row>
    <row r="702" spans="1:26" ht="12" x14ac:dyDescent="0.2">
      <c r="A702" s="1933"/>
      <c r="B702" s="1933"/>
      <c r="C702" s="1933"/>
      <c r="D702" s="1933"/>
      <c r="E702" s="1933"/>
      <c r="F702" s="1933"/>
      <c r="G702" s="1934"/>
      <c r="H702" s="1933"/>
      <c r="I702" s="1933"/>
      <c r="J702" s="1933"/>
      <c r="K702" s="1933"/>
      <c r="L702" s="1933"/>
      <c r="M702" s="1933"/>
      <c r="N702" s="1933"/>
      <c r="O702" s="1933"/>
      <c r="P702" s="1933"/>
      <c r="Q702" s="1933"/>
      <c r="R702" s="1933"/>
      <c r="S702" s="1933"/>
      <c r="T702" s="1933"/>
      <c r="U702" s="1933"/>
      <c r="V702" s="1933"/>
      <c r="W702" s="1933"/>
      <c r="X702" s="1933"/>
      <c r="Y702" s="1933"/>
      <c r="Z702" s="1933"/>
    </row>
    <row r="703" spans="1:26" ht="12" x14ac:dyDescent="0.2">
      <c r="A703" s="1933"/>
      <c r="B703" s="1933"/>
      <c r="C703" s="1933"/>
      <c r="D703" s="1933"/>
      <c r="E703" s="1933"/>
      <c r="F703" s="1933"/>
      <c r="G703" s="1934"/>
      <c r="H703" s="1933"/>
      <c r="I703" s="1933"/>
      <c r="J703" s="1933"/>
      <c r="K703" s="1933"/>
      <c r="L703" s="1933"/>
      <c r="M703" s="1933"/>
      <c r="N703" s="1933"/>
      <c r="O703" s="1933"/>
      <c r="P703" s="1933"/>
      <c r="Q703" s="1933"/>
      <c r="R703" s="1933"/>
      <c r="S703" s="1933"/>
      <c r="T703" s="1933"/>
      <c r="U703" s="1933"/>
      <c r="V703" s="1933"/>
      <c r="W703" s="1933"/>
      <c r="X703" s="1933"/>
      <c r="Y703" s="1933"/>
      <c r="Z703" s="1933"/>
    </row>
    <row r="704" spans="1:26" ht="12" x14ac:dyDescent="0.2">
      <c r="A704" s="1933"/>
      <c r="B704" s="1933"/>
      <c r="C704" s="1933"/>
      <c r="D704" s="1933"/>
      <c r="E704" s="1933"/>
      <c r="F704" s="1933"/>
      <c r="G704" s="1934"/>
      <c r="H704" s="1933"/>
      <c r="I704" s="1933"/>
      <c r="J704" s="1933"/>
      <c r="K704" s="1933"/>
      <c r="L704" s="1933"/>
      <c r="M704" s="1933"/>
      <c r="N704" s="1933"/>
      <c r="O704" s="1933"/>
      <c r="P704" s="1933"/>
      <c r="Q704" s="1933"/>
      <c r="R704" s="1933"/>
      <c r="S704" s="1933"/>
      <c r="T704" s="1933"/>
      <c r="U704" s="1933"/>
      <c r="V704" s="1933"/>
      <c r="W704" s="1933"/>
      <c r="X704" s="1933"/>
      <c r="Y704" s="1933"/>
      <c r="Z704" s="1933"/>
    </row>
    <row r="705" spans="1:26" ht="12" x14ac:dyDescent="0.2">
      <c r="A705" s="1933"/>
      <c r="B705" s="1933"/>
      <c r="C705" s="1933"/>
      <c r="D705" s="1933"/>
      <c r="E705" s="1933"/>
      <c r="F705" s="1933"/>
      <c r="G705" s="1934"/>
      <c r="H705" s="1933"/>
      <c r="I705" s="1933"/>
      <c r="J705" s="1933"/>
      <c r="K705" s="1933"/>
      <c r="L705" s="1933"/>
      <c r="M705" s="1933"/>
      <c r="N705" s="1933"/>
      <c r="O705" s="1933"/>
      <c r="P705" s="1933"/>
      <c r="Q705" s="1933"/>
      <c r="R705" s="1933"/>
      <c r="S705" s="1933"/>
      <c r="T705" s="1933"/>
      <c r="U705" s="1933"/>
      <c r="V705" s="1933"/>
      <c r="W705" s="1933"/>
      <c r="X705" s="1933"/>
      <c r="Y705" s="1933"/>
      <c r="Z705" s="1933"/>
    </row>
    <row r="706" spans="1:26" ht="12" x14ac:dyDescent="0.2">
      <c r="A706" s="1933"/>
      <c r="B706" s="1933"/>
      <c r="C706" s="1933"/>
      <c r="D706" s="1933"/>
      <c r="E706" s="1933"/>
      <c r="F706" s="1933"/>
      <c r="G706" s="1934"/>
      <c r="H706" s="1933"/>
      <c r="I706" s="1933"/>
      <c r="J706" s="1933"/>
      <c r="K706" s="1933"/>
      <c r="L706" s="1933"/>
      <c r="M706" s="1933"/>
      <c r="N706" s="1933"/>
      <c r="O706" s="1933"/>
      <c r="P706" s="1933"/>
      <c r="Q706" s="1933"/>
      <c r="R706" s="1933"/>
      <c r="S706" s="1933"/>
      <c r="T706" s="1933"/>
      <c r="U706" s="1933"/>
      <c r="V706" s="1933"/>
      <c r="W706" s="1933"/>
      <c r="X706" s="1933"/>
      <c r="Y706" s="1933"/>
      <c r="Z706" s="1933"/>
    </row>
    <row r="707" spans="1:26" ht="12" x14ac:dyDescent="0.2">
      <c r="A707" s="1933"/>
      <c r="B707" s="1933"/>
      <c r="C707" s="1933"/>
      <c r="D707" s="1933"/>
      <c r="E707" s="1933"/>
      <c r="F707" s="1933"/>
      <c r="G707" s="1934"/>
      <c r="H707" s="1933"/>
      <c r="I707" s="1933"/>
      <c r="J707" s="1933"/>
      <c r="K707" s="1933"/>
      <c r="L707" s="1933"/>
      <c r="M707" s="1933"/>
      <c r="N707" s="1933"/>
      <c r="O707" s="1933"/>
      <c r="P707" s="1933"/>
      <c r="Q707" s="1933"/>
      <c r="R707" s="1933"/>
      <c r="S707" s="1933"/>
      <c r="T707" s="1933"/>
      <c r="U707" s="1933"/>
      <c r="V707" s="1933"/>
      <c r="W707" s="1933"/>
      <c r="X707" s="1933"/>
      <c r="Y707" s="1933"/>
      <c r="Z707" s="1933"/>
    </row>
    <row r="708" spans="1:26" ht="12" x14ac:dyDescent="0.2">
      <c r="A708" s="1933"/>
      <c r="B708" s="1933"/>
      <c r="C708" s="1933"/>
      <c r="D708" s="1933"/>
      <c r="E708" s="1933"/>
      <c r="F708" s="1933"/>
      <c r="G708" s="1934"/>
      <c r="H708" s="1933"/>
      <c r="I708" s="1933"/>
      <c r="J708" s="1933"/>
      <c r="K708" s="1933"/>
      <c r="L708" s="1933"/>
      <c r="M708" s="1933"/>
      <c r="N708" s="1933"/>
      <c r="O708" s="1933"/>
      <c r="P708" s="1933"/>
      <c r="Q708" s="1933"/>
      <c r="R708" s="1933"/>
      <c r="S708" s="1933"/>
      <c r="T708" s="1933"/>
      <c r="U708" s="1933"/>
      <c r="V708" s="1933"/>
      <c r="W708" s="1933"/>
      <c r="X708" s="1933"/>
      <c r="Y708" s="1933"/>
      <c r="Z708" s="1933"/>
    </row>
    <row r="709" spans="1:26" ht="12" x14ac:dyDescent="0.2">
      <c r="A709" s="1933"/>
      <c r="B709" s="1933"/>
      <c r="C709" s="1933"/>
      <c r="D709" s="1933"/>
      <c r="E709" s="1933"/>
      <c r="F709" s="1933"/>
      <c r="G709" s="1934"/>
      <c r="H709" s="1933"/>
      <c r="I709" s="1933"/>
      <c r="J709" s="1933"/>
      <c r="K709" s="1933"/>
      <c r="L709" s="1933"/>
      <c r="M709" s="1933"/>
      <c r="N709" s="1933"/>
      <c r="O709" s="1933"/>
      <c r="P709" s="1933"/>
      <c r="Q709" s="1933"/>
      <c r="R709" s="1933"/>
      <c r="S709" s="1933"/>
      <c r="T709" s="1933"/>
      <c r="U709" s="1933"/>
      <c r="V709" s="1933"/>
      <c r="W709" s="1933"/>
      <c r="X709" s="1933"/>
      <c r="Y709" s="1933"/>
      <c r="Z709" s="1933"/>
    </row>
    <row r="710" spans="1:26" ht="12" x14ac:dyDescent="0.2">
      <c r="A710" s="1933"/>
      <c r="B710" s="1933"/>
      <c r="C710" s="1933"/>
      <c r="D710" s="1933"/>
      <c r="E710" s="1933"/>
      <c r="F710" s="1933"/>
      <c r="G710" s="1934"/>
      <c r="H710" s="1933"/>
      <c r="I710" s="1933"/>
      <c r="J710" s="1933"/>
      <c r="K710" s="1933"/>
      <c r="L710" s="1933"/>
      <c r="M710" s="1933"/>
      <c r="N710" s="1933"/>
      <c r="O710" s="1933"/>
      <c r="P710" s="1933"/>
      <c r="Q710" s="1933"/>
      <c r="R710" s="1933"/>
      <c r="S710" s="1933"/>
      <c r="T710" s="1933"/>
      <c r="U710" s="1933"/>
      <c r="V710" s="1933"/>
      <c r="W710" s="1933"/>
      <c r="X710" s="1933"/>
      <c r="Y710" s="1933"/>
      <c r="Z710" s="1933"/>
    </row>
    <row r="711" spans="1:26" ht="12" x14ac:dyDescent="0.2">
      <c r="A711" s="1933"/>
      <c r="B711" s="1933"/>
      <c r="C711" s="1933"/>
      <c r="D711" s="1933"/>
      <c r="E711" s="1933"/>
      <c r="F711" s="1933"/>
      <c r="G711" s="1934"/>
      <c r="H711" s="1933"/>
      <c r="I711" s="1933"/>
      <c r="J711" s="1933"/>
      <c r="K711" s="1933"/>
      <c r="L711" s="1933"/>
      <c r="M711" s="1933"/>
      <c r="N711" s="1933"/>
      <c r="O711" s="1933"/>
      <c r="P711" s="1933"/>
      <c r="Q711" s="1933"/>
      <c r="R711" s="1933"/>
      <c r="S711" s="1933"/>
      <c r="T711" s="1933"/>
      <c r="U711" s="1933"/>
      <c r="V711" s="1933"/>
      <c r="W711" s="1933"/>
      <c r="X711" s="1933"/>
      <c r="Y711" s="1933"/>
      <c r="Z711" s="1933"/>
    </row>
    <row r="712" spans="1:26" ht="12" x14ac:dyDescent="0.2">
      <c r="A712" s="1933"/>
      <c r="B712" s="1933"/>
      <c r="C712" s="1933"/>
      <c r="D712" s="1933"/>
      <c r="E712" s="1933"/>
      <c r="F712" s="1933"/>
      <c r="G712" s="1934"/>
      <c r="H712" s="1933"/>
      <c r="I712" s="1933"/>
      <c r="J712" s="1933"/>
      <c r="K712" s="1933"/>
      <c r="L712" s="1933"/>
      <c r="M712" s="1933"/>
      <c r="N712" s="1933"/>
      <c r="O712" s="1933"/>
      <c r="P712" s="1933"/>
      <c r="Q712" s="1933"/>
      <c r="R712" s="1933"/>
      <c r="S712" s="1933"/>
      <c r="T712" s="1933"/>
      <c r="U712" s="1933"/>
      <c r="V712" s="1933"/>
      <c r="W712" s="1933"/>
      <c r="X712" s="1933"/>
      <c r="Y712" s="1933"/>
      <c r="Z712" s="1933"/>
    </row>
    <row r="713" spans="1:26" ht="12" x14ac:dyDescent="0.2">
      <c r="A713" s="1933"/>
      <c r="B713" s="1933"/>
      <c r="C713" s="1933"/>
      <c r="D713" s="1933"/>
      <c r="E713" s="1933"/>
      <c r="F713" s="1933"/>
      <c r="G713" s="1934"/>
      <c r="H713" s="1933"/>
      <c r="I713" s="1933"/>
      <c r="J713" s="1933"/>
      <c r="K713" s="1933"/>
      <c r="L713" s="1933"/>
      <c r="M713" s="1933"/>
      <c r="N713" s="1933"/>
      <c r="O713" s="1933"/>
      <c r="P713" s="1933"/>
      <c r="Q713" s="1933"/>
      <c r="R713" s="1933"/>
      <c r="S713" s="1933"/>
      <c r="T713" s="1933"/>
      <c r="U713" s="1933"/>
      <c r="V713" s="1933"/>
      <c r="W713" s="1933"/>
      <c r="X713" s="1933"/>
      <c r="Y713" s="1933"/>
      <c r="Z713" s="1933"/>
    </row>
    <row r="714" spans="1:26" ht="12" x14ac:dyDescent="0.2">
      <c r="A714" s="1933"/>
      <c r="B714" s="1933"/>
      <c r="C714" s="1933"/>
      <c r="D714" s="1933"/>
      <c r="E714" s="1933"/>
      <c r="F714" s="1933"/>
      <c r="G714" s="1934"/>
      <c r="H714" s="1933"/>
      <c r="I714" s="1933"/>
      <c r="J714" s="1933"/>
      <c r="K714" s="1933"/>
      <c r="L714" s="1933"/>
      <c r="M714" s="1933"/>
      <c r="N714" s="1933"/>
      <c r="O714" s="1933"/>
      <c r="P714" s="1933"/>
      <c r="Q714" s="1933"/>
      <c r="R714" s="1933"/>
      <c r="S714" s="1933"/>
      <c r="T714" s="1933"/>
      <c r="U714" s="1933"/>
      <c r="V714" s="1933"/>
      <c r="W714" s="1933"/>
      <c r="X714" s="1933"/>
      <c r="Y714" s="1933"/>
      <c r="Z714" s="1933"/>
    </row>
    <row r="715" spans="1:26" ht="12" x14ac:dyDescent="0.2">
      <c r="A715" s="1933"/>
      <c r="B715" s="1933"/>
      <c r="C715" s="1933"/>
      <c r="D715" s="1933"/>
      <c r="E715" s="1933"/>
      <c r="F715" s="1933"/>
      <c r="G715" s="1934"/>
      <c r="H715" s="1933"/>
      <c r="I715" s="1933"/>
      <c r="J715" s="1933"/>
      <c r="K715" s="1933"/>
      <c r="L715" s="1933"/>
      <c r="M715" s="1933"/>
      <c r="N715" s="1933"/>
      <c r="O715" s="1933"/>
      <c r="P715" s="1933"/>
      <c r="Q715" s="1933"/>
      <c r="R715" s="1933"/>
      <c r="S715" s="1933"/>
      <c r="T715" s="1933"/>
      <c r="U715" s="1933"/>
      <c r="V715" s="1933"/>
      <c r="W715" s="1933"/>
      <c r="X715" s="1933"/>
      <c r="Y715" s="1933"/>
      <c r="Z715" s="1933"/>
    </row>
    <row r="716" spans="1:26" ht="12" x14ac:dyDescent="0.2">
      <c r="A716" s="1933"/>
      <c r="B716" s="1933"/>
      <c r="C716" s="1933"/>
      <c r="D716" s="1933"/>
      <c r="E716" s="1933"/>
      <c r="F716" s="1933"/>
      <c r="G716" s="1934"/>
      <c r="H716" s="1933"/>
      <c r="I716" s="1933"/>
      <c r="J716" s="1933"/>
      <c r="K716" s="1933"/>
      <c r="L716" s="1933"/>
      <c r="M716" s="1933"/>
      <c r="N716" s="1933"/>
      <c r="O716" s="1933"/>
      <c r="P716" s="1933"/>
      <c r="Q716" s="1933"/>
      <c r="R716" s="1933"/>
      <c r="S716" s="1933"/>
      <c r="T716" s="1933"/>
      <c r="U716" s="1933"/>
      <c r="V716" s="1933"/>
      <c r="W716" s="1933"/>
      <c r="X716" s="1933"/>
      <c r="Y716" s="1933"/>
      <c r="Z716" s="1933"/>
    </row>
    <row r="717" spans="1:26" ht="12" x14ac:dyDescent="0.2">
      <c r="A717" s="1933"/>
      <c r="B717" s="1933"/>
      <c r="C717" s="1933"/>
      <c r="D717" s="1933"/>
      <c r="E717" s="1933"/>
      <c r="F717" s="1933"/>
      <c r="G717" s="1934"/>
      <c r="H717" s="1933"/>
      <c r="I717" s="1933"/>
      <c r="J717" s="1933"/>
      <c r="K717" s="1933"/>
      <c r="L717" s="1933"/>
      <c r="M717" s="1933"/>
      <c r="N717" s="1933"/>
      <c r="O717" s="1933"/>
      <c r="P717" s="1933"/>
      <c r="Q717" s="1933"/>
      <c r="R717" s="1933"/>
      <c r="S717" s="1933"/>
      <c r="T717" s="1933"/>
      <c r="U717" s="1933"/>
      <c r="V717" s="1933"/>
      <c r="W717" s="1933"/>
      <c r="X717" s="1933"/>
      <c r="Y717" s="1933"/>
      <c r="Z717" s="1933"/>
    </row>
    <row r="718" spans="1:26" ht="12" x14ac:dyDescent="0.2">
      <c r="A718" s="1933"/>
      <c r="B718" s="1933"/>
      <c r="C718" s="1933"/>
      <c r="D718" s="1933"/>
      <c r="E718" s="1933"/>
      <c r="F718" s="1933"/>
      <c r="G718" s="1934"/>
      <c r="H718" s="1933"/>
      <c r="I718" s="1933"/>
      <c r="J718" s="1933"/>
      <c r="K718" s="1933"/>
      <c r="L718" s="1933"/>
      <c r="M718" s="1933"/>
      <c r="N718" s="1933"/>
      <c r="O718" s="1933"/>
      <c r="P718" s="1933"/>
      <c r="Q718" s="1933"/>
      <c r="R718" s="1933"/>
      <c r="S718" s="1933"/>
      <c r="T718" s="1933"/>
      <c r="U718" s="1933"/>
      <c r="V718" s="1933"/>
      <c r="W718" s="1933"/>
      <c r="X718" s="1933"/>
      <c r="Y718" s="1933"/>
      <c r="Z718" s="1933"/>
    </row>
    <row r="719" spans="1:26" ht="12" x14ac:dyDescent="0.2">
      <c r="A719" s="1933"/>
      <c r="B719" s="1933"/>
      <c r="C719" s="1933"/>
      <c r="D719" s="1933"/>
      <c r="E719" s="1933"/>
      <c r="F719" s="1933"/>
      <c r="G719" s="1934"/>
      <c r="H719" s="1933"/>
      <c r="I719" s="1933"/>
      <c r="J719" s="1933"/>
      <c r="K719" s="1933"/>
      <c r="L719" s="1933"/>
      <c r="M719" s="1933"/>
      <c r="N719" s="1933"/>
      <c r="O719" s="1933"/>
      <c r="P719" s="1933"/>
      <c r="Q719" s="1933"/>
      <c r="R719" s="1933"/>
      <c r="S719" s="1933"/>
      <c r="T719" s="1933"/>
      <c r="U719" s="1933"/>
      <c r="V719" s="1933"/>
      <c r="W719" s="1933"/>
      <c r="X719" s="1933"/>
      <c r="Y719" s="1933"/>
      <c r="Z719" s="1933"/>
    </row>
    <row r="720" spans="1:26" ht="12" x14ac:dyDescent="0.2">
      <c r="A720" s="1933"/>
      <c r="B720" s="1933"/>
      <c r="C720" s="1933"/>
      <c r="D720" s="1933"/>
      <c r="E720" s="1933"/>
      <c r="F720" s="1933"/>
      <c r="G720" s="1934"/>
      <c r="H720" s="1933"/>
      <c r="I720" s="1933"/>
      <c r="J720" s="1933"/>
      <c r="K720" s="1933"/>
      <c r="L720" s="1933"/>
      <c r="M720" s="1933"/>
      <c r="N720" s="1933"/>
      <c r="O720" s="1933"/>
      <c r="P720" s="1933"/>
      <c r="Q720" s="1933"/>
      <c r="R720" s="1933"/>
      <c r="S720" s="1933"/>
      <c r="T720" s="1933"/>
      <c r="U720" s="1933"/>
      <c r="V720" s="1933"/>
      <c r="W720" s="1933"/>
      <c r="X720" s="1933"/>
      <c r="Y720" s="1933"/>
      <c r="Z720" s="1933"/>
    </row>
    <row r="721" spans="1:26" ht="12" x14ac:dyDescent="0.2">
      <c r="A721" s="1933"/>
      <c r="B721" s="1933"/>
      <c r="C721" s="1933"/>
      <c r="D721" s="1933"/>
      <c r="E721" s="1933"/>
      <c r="F721" s="1933"/>
      <c r="G721" s="1934"/>
      <c r="H721" s="1933"/>
      <c r="I721" s="1933"/>
      <c r="J721" s="1933"/>
      <c r="K721" s="1933"/>
      <c r="L721" s="1933"/>
      <c r="M721" s="1933"/>
      <c r="N721" s="1933"/>
      <c r="O721" s="1933"/>
      <c r="P721" s="1933"/>
      <c r="Q721" s="1933"/>
      <c r="R721" s="1933"/>
      <c r="S721" s="1933"/>
      <c r="T721" s="1933"/>
      <c r="U721" s="1933"/>
      <c r="V721" s="1933"/>
      <c r="W721" s="1933"/>
      <c r="X721" s="1933"/>
      <c r="Y721" s="1933"/>
      <c r="Z721" s="1933"/>
    </row>
    <row r="722" spans="1:26" ht="12" x14ac:dyDescent="0.2">
      <c r="A722" s="1933"/>
      <c r="B722" s="1933"/>
      <c r="C722" s="1933"/>
      <c r="D722" s="1933"/>
      <c r="E722" s="1933"/>
      <c r="F722" s="1933"/>
      <c r="G722" s="1934"/>
      <c r="H722" s="1933"/>
      <c r="I722" s="1933"/>
      <c r="J722" s="1933"/>
      <c r="K722" s="1933"/>
      <c r="L722" s="1933"/>
      <c r="M722" s="1933"/>
      <c r="N722" s="1933"/>
      <c r="O722" s="1933"/>
      <c r="P722" s="1933"/>
      <c r="Q722" s="1933"/>
      <c r="R722" s="1933"/>
      <c r="S722" s="1933"/>
      <c r="T722" s="1933"/>
      <c r="U722" s="1933"/>
      <c r="V722" s="1933"/>
      <c r="W722" s="1933"/>
      <c r="X722" s="1933"/>
      <c r="Y722" s="1933"/>
      <c r="Z722" s="1933"/>
    </row>
    <row r="723" spans="1:26" ht="12" x14ac:dyDescent="0.2">
      <c r="A723" s="1933"/>
      <c r="B723" s="1933"/>
      <c r="C723" s="1933"/>
      <c r="D723" s="1933"/>
      <c r="E723" s="1933"/>
      <c r="F723" s="1933"/>
      <c r="G723" s="1934"/>
      <c r="H723" s="1933"/>
      <c r="I723" s="1933"/>
      <c r="J723" s="1933"/>
      <c r="K723" s="1933"/>
      <c r="L723" s="1933"/>
      <c r="M723" s="1933"/>
      <c r="N723" s="1933"/>
      <c r="O723" s="1933"/>
      <c r="P723" s="1933"/>
      <c r="Q723" s="1933"/>
      <c r="R723" s="1933"/>
      <c r="S723" s="1933"/>
      <c r="T723" s="1933"/>
      <c r="U723" s="1933"/>
      <c r="V723" s="1933"/>
      <c r="W723" s="1933"/>
      <c r="X723" s="1933"/>
      <c r="Y723" s="1933"/>
      <c r="Z723" s="1933"/>
    </row>
    <row r="724" spans="1:26" ht="12" x14ac:dyDescent="0.2">
      <c r="A724" s="1933"/>
      <c r="B724" s="1933"/>
      <c r="C724" s="1933"/>
      <c r="D724" s="1933"/>
      <c r="E724" s="1933"/>
      <c r="F724" s="1933"/>
      <c r="G724" s="1934"/>
      <c r="H724" s="1933"/>
      <c r="I724" s="1933"/>
      <c r="J724" s="1933"/>
      <c r="K724" s="1933"/>
      <c r="L724" s="1933"/>
      <c r="M724" s="1933"/>
      <c r="N724" s="1933"/>
      <c r="O724" s="1933"/>
      <c r="P724" s="1933"/>
      <c r="Q724" s="1933"/>
      <c r="R724" s="1933"/>
      <c r="S724" s="1933"/>
      <c r="T724" s="1933"/>
      <c r="U724" s="1933"/>
      <c r="V724" s="1933"/>
      <c r="W724" s="1933"/>
      <c r="X724" s="1933"/>
      <c r="Y724" s="1933"/>
      <c r="Z724" s="1933"/>
    </row>
    <row r="725" spans="1:26" ht="12" x14ac:dyDescent="0.2">
      <c r="A725" s="1933"/>
      <c r="B725" s="1933"/>
      <c r="C725" s="1933"/>
      <c r="D725" s="1933"/>
      <c r="E725" s="1933"/>
      <c r="F725" s="1933"/>
      <c r="G725" s="1934"/>
      <c r="H725" s="1933"/>
      <c r="I725" s="1933"/>
      <c r="J725" s="1933"/>
      <c r="K725" s="1933"/>
      <c r="L725" s="1933"/>
      <c r="M725" s="1933"/>
      <c r="N725" s="1933"/>
      <c r="O725" s="1933"/>
      <c r="P725" s="1933"/>
      <c r="Q725" s="1933"/>
      <c r="R725" s="1933"/>
      <c r="S725" s="1933"/>
      <c r="T725" s="1933"/>
      <c r="U725" s="1933"/>
      <c r="V725" s="1933"/>
      <c r="W725" s="1933"/>
      <c r="X725" s="1933"/>
      <c r="Y725" s="1933"/>
      <c r="Z725" s="1933"/>
    </row>
    <row r="726" spans="1:26" ht="12" x14ac:dyDescent="0.2">
      <c r="A726" s="1933"/>
      <c r="B726" s="1933"/>
      <c r="C726" s="1933"/>
      <c r="D726" s="1933"/>
      <c r="E726" s="1933"/>
      <c r="F726" s="1933"/>
      <c r="G726" s="1934"/>
      <c r="H726" s="1933"/>
      <c r="I726" s="1933"/>
      <c r="J726" s="1933"/>
      <c r="K726" s="1933"/>
      <c r="L726" s="1933"/>
      <c r="M726" s="1933"/>
      <c r="N726" s="1933"/>
      <c r="O726" s="1933"/>
      <c r="P726" s="1933"/>
      <c r="Q726" s="1933"/>
      <c r="R726" s="1933"/>
      <c r="S726" s="1933"/>
      <c r="T726" s="1933"/>
      <c r="U726" s="1933"/>
      <c r="V726" s="1933"/>
      <c r="W726" s="1933"/>
      <c r="X726" s="1933"/>
      <c r="Y726" s="1933"/>
      <c r="Z726" s="1933"/>
    </row>
    <row r="727" spans="1:26" ht="12" x14ac:dyDescent="0.2">
      <c r="A727" s="1933"/>
      <c r="B727" s="1933"/>
      <c r="C727" s="1933"/>
      <c r="D727" s="1933"/>
      <c r="E727" s="1933"/>
      <c r="F727" s="1933"/>
      <c r="G727" s="1934"/>
      <c r="H727" s="1933"/>
      <c r="I727" s="1933"/>
      <c r="J727" s="1933"/>
      <c r="K727" s="1933"/>
      <c r="L727" s="1933"/>
      <c r="M727" s="1933"/>
      <c r="N727" s="1933"/>
      <c r="O727" s="1933"/>
      <c r="P727" s="1933"/>
      <c r="Q727" s="1933"/>
      <c r="R727" s="1933"/>
      <c r="S727" s="1933"/>
      <c r="T727" s="1933"/>
      <c r="U727" s="1933"/>
      <c r="V727" s="1933"/>
      <c r="W727" s="1933"/>
      <c r="X727" s="1933"/>
      <c r="Y727" s="1933"/>
      <c r="Z727" s="1933"/>
    </row>
    <row r="728" spans="1:26" ht="12" x14ac:dyDescent="0.2">
      <c r="A728" s="1933"/>
      <c r="B728" s="1933"/>
      <c r="C728" s="1933"/>
      <c r="D728" s="1933"/>
      <c r="E728" s="1933"/>
      <c r="F728" s="1933"/>
      <c r="G728" s="1934"/>
      <c r="H728" s="1933"/>
      <c r="I728" s="1933"/>
      <c r="J728" s="1933"/>
      <c r="K728" s="1933"/>
      <c r="L728" s="1933"/>
      <c r="M728" s="1933"/>
      <c r="N728" s="1933"/>
      <c r="O728" s="1933"/>
      <c r="P728" s="1933"/>
      <c r="Q728" s="1933"/>
      <c r="R728" s="1933"/>
      <c r="S728" s="1933"/>
      <c r="T728" s="1933"/>
      <c r="U728" s="1933"/>
      <c r="V728" s="1933"/>
      <c r="W728" s="1933"/>
      <c r="X728" s="1933"/>
      <c r="Y728" s="1933"/>
      <c r="Z728" s="1933"/>
    </row>
    <row r="729" spans="1:26" ht="12" x14ac:dyDescent="0.2">
      <c r="A729" s="1933"/>
      <c r="B729" s="1933"/>
      <c r="C729" s="1933"/>
      <c r="D729" s="1933"/>
      <c r="E729" s="1933"/>
      <c r="F729" s="1933"/>
      <c r="G729" s="1934"/>
      <c r="H729" s="1933"/>
      <c r="I729" s="1933"/>
      <c r="J729" s="1933"/>
      <c r="K729" s="1933"/>
      <c r="L729" s="1933"/>
      <c r="M729" s="1933"/>
      <c r="N729" s="1933"/>
      <c r="O729" s="1933"/>
      <c r="P729" s="1933"/>
      <c r="Q729" s="1933"/>
      <c r="R729" s="1933"/>
      <c r="S729" s="1933"/>
      <c r="T729" s="1933"/>
      <c r="U729" s="1933"/>
      <c r="V729" s="1933"/>
      <c r="W729" s="1933"/>
      <c r="X729" s="1933"/>
      <c r="Y729" s="1933"/>
      <c r="Z729" s="1933"/>
    </row>
    <row r="730" spans="1:26" ht="12" x14ac:dyDescent="0.2">
      <c r="A730" s="1933"/>
      <c r="B730" s="1933"/>
      <c r="C730" s="1933"/>
      <c r="D730" s="1933"/>
      <c r="E730" s="1933"/>
      <c r="F730" s="1933"/>
      <c r="G730" s="1934"/>
      <c r="H730" s="1933"/>
      <c r="I730" s="1933"/>
      <c r="J730" s="1933"/>
      <c r="K730" s="1933"/>
      <c r="L730" s="1933"/>
      <c r="M730" s="1933"/>
      <c r="N730" s="1933"/>
      <c r="O730" s="1933"/>
      <c r="P730" s="1933"/>
      <c r="Q730" s="1933"/>
      <c r="R730" s="1933"/>
      <c r="S730" s="1933"/>
      <c r="T730" s="1933"/>
      <c r="U730" s="1933"/>
      <c r="V730" s="1933"/>
      <c r="W730" s="1933"/>
      <c r="X730" s="1933"/>
      <c r="Y730" s="1933"/>
      <c r="Z730" s="1933"/>
    </row>
    <row r="731" spans="1:26" ht="12" x14ac:dyDescent="0.2">
      <c r="A731" s="1933"/>
      <c r="B731" s="1933"/>
      <c r="C731" s="1933"/>
      <c r="D731" s="1933"/>
      <c r="E731" s="1933"/>
      <c r="F731" s="1933"/>
      <c r="G731" s="1934"/>
      <c r="H731" s="1933"/>
      <c r="I731" s="1933"/>
      <c r="J731" s="1933"/>
      <c r="K731" s="1933"/>
      <c r="L731" s="1933"/>
      <c r="M731" s="1933"/>
      <c r="N731" s="1933"/>
      <c r="O731" s="1933"/>
      <c r="P731" s="1933"/>
      <c r="Q731" s="1933"/>
      <c r="R731" s="1933"/>
      <c r="S731" s="1933"/>
      <c r="T731" s="1933"/>
      <c r="U731" s="1933"/>
      <c r="V731" s="1933"/>
      <c r="W731" s="1933"/>
      <c r="X731" s="1933"/>
      <c r="Y731" s="1933"/>
      <c r="Z731" s="1933"/>
    </row>
    <row r="732" spans="1:26" ht="12" x14ac:dyDescent="0.2">
      <c r="A732" s="1933"/>
      <c r="B732" s="1933"/>
      <c r="C732" s="1933"/>
      <c r="D732" s="1933"/>
      <c r="E732" s="1933"/>
      <c r="F732" s="1933"/>
      <c r="G732" s="1934"/>
      <c r="H732" s="1933"/>
      <c r="I732" s="1933"/>
      <c r="J732" s="1933"/>
      <c r="K732" s="1933"/>
      <c r="L732" s="1933"/>
      <c r="M732" s="1933"/>
      <c r="N732" s="1933"/>
      <c r="O732" s="1933"/>
      <c r="P732" s="1933"/>
      <c r="Q732" s="1933"/>
      <c r="R732" s="1933"/>
      <c r="S732" s="1933"/>
      <c r="T732" s="1933"/>
      <c r="U732" s="1933"/>
      <c r="V732" s="1933"/>
      <c r="W732" s="1933"/>
      <c r="X732" s="1933"/>
      <c r="Y732" s="1933"/>
      <c r="Z732" s="1933"/>
    </row>
    <row r="733" spans="1:26" ht="12" x14ac:dyDescent="0.2">
      <c r="A733" s="1933"/>
      <c r="B733" s="1933"/>
      <c r="C733" s="1933"/>
      <c r="D733" s="1933"/>
      <c r="E733" s="1933"/>
      <c r="F733" s="1933"/>
      <c r="G733" s="1934"/>
      <c r="H733" s="1933"/>
      <c r="I733" s="1933"/>
      <c r="J733" s="1933"/>
      <c r="K733" s="1933"/>
      <c r="L733" s="1933"/>
      <c r="M733" s="1933"/>
      <c r="N733" s="1933"/>
      <c r="O733" s="1933"/>
      <c r="P733" s="1933"/>
      <c r="Q733" s="1933"/>
      <c r="R733" s="1933"/>
      <c r="S733" s="1933"/>
      <c r="T733" s="1933"/>
      <c r="U733" s="1933"/>
      <c r="V733" s="1933"/>
      <c r="W733" s="1933"/>
      <c r="X733" s="1933"/>
      <c r="Y733" s="1933"/>
      <c r="Z733" s="1933"/>
    </row>
    <row r="734" spans="1:26" ht="12" x14ac:dyDescent="0.2">
      <c r="A734" s="1933"/>
      <c r="B734" s="1933"/>
      <c r="C734" s="1933"/>
      <c r="D734" s="1933"/>
      <c r="E734" s="1933"/>
      <c r="F734" s="1933"/>
      <c r="G734" s="1934"/>
      <c r="H734" s="1933"/>
      <c r="I734" s="1933"/>
      <c r="J734" s="1933"/>
      <c r="K734" s="1933"/>
      <c r="L734" s="1933"/>
      <c r="M734" s="1933"/>
      <c r="N734" s="1933"/>
      <c r="O734" s="1933"/>
      <c r="P734" s="1933"/>
      <c r="Q734" s="1933"/>
      <c r="R734" s="1933"/>
      <c r="S734" s="1933"/>
      <c r="T734" s="1933"/>
      <c r="U734" s="1933"/>
      <c r="V734" s="1933"/>
      <c r="W734" s="1933"/>
      <c r="X734" s="1933"/>
      <c r="Y734" s="1933"/>
      <c r="Z734" s="1933"/>
    </row>
    <row r="735" spans="1:26" ht="12" x14ac:dyDescent="0.2">
      <c r="A735" s="1933"/>
      <c r="B735" s="1933"/>
      <c r="C735" s="1933"/>
      <c r="D735" s="1933"/>
      <c r="E735" s="1933"/>
      <c r="F735" s="1933"/>
      <c r="G735" s="1934"/>
      <c r="H735" s="1933"/>
      <c r="I735" s="1933"/>
      <c r="J735" s="1933"/>
      <c r="K735" s="1933"/>
      <c r="L735" s="1933"/>
      <c r="M735" s="1933"/>
      <c r="N735" s="1933"/>
      <c r="O735" s="1933"/>
      <c r="P735" s="1933"/>
      <c r="Q735" s="1933"/>
      <c r="R735" s="1933"/>
      <c r="S735" s="1933"/>
      <c r="T735" s="1933"/>
      <c r="U735" s="1933"/>
      <c r="V735" s="1933"/>
      <c r="W735" s="1933"/>
      <c r="X735" s="1933"/>
      <c r="Y735" s="1933"/>
      <c r="Z735" s="1933"/>
    </row>
    <row r="736" spans="1:26" ht="12" x14ac:dyDescent="0.2">
      <c r="A736" s="1933"/>
      <c r="B736" s="1933"/>
      <c r="C736" s="1933"/>
      <c r="D736" s="1933"/>
      <c r="E736" s="1933"/>
      <c r="F736" s="1933"/>
      <c r="G736" s="1934"/>
      <c r="H736" s="1933"/>
      <c r="I736" s="1933"/>
      <c r="J736" s="1933"/>
      <c r="K736" s="1933"/>
      <c r="L736" s="1933"/>
      <c r="M736" s="1933"/>
      <c r="N736" s="1933"/>
      <c r="O736" s="1933"/>
      <c r="P736" s="1933"/>
      <c r="Q736" s="1933"/>
      <c r="R736" s="1933"/>
      <c r="S736" s="1933"/>
      <c r="T736" s="1933"/>
      <c r="U736" s="1933"/>
      <c r="V736" s="1933"/>
      <c r="W736" s="1933"/>
      <c r="X736" s="1933"/>
      <c r="Y736" s="1933"/>
      <c r="Z736" s="1933"/>
    </row>
    <row r="737" spans="1:26" ht="12" x14ac:dyDescent="0.2">
      <c r="A737" s="1933"/>
      <c r="B737" s="1933"/>
      <c r="C737" s="1933"/>
      <c r="D737" s="1933"/>
      <c r="E737" s="1933"/>
      <c r="F737" s="1933"/>
      <c r="G737" s="1934"/>
      <c r="H737" s="1933"/>
      <c r="I737" s="1933"/>
      <c r="J737" s="1933"/>
      <c r="K737" s="1933"/>
      <c r="L737" s="1933"/>
      <c r="M737" s="1933"/>
      <c r="N737" s="1933"/>
      <c r="O737" s="1933"/>
      <c r="P737" s="1933"/>
      <c r="Q737" s="1933"/>
      <c r="R737" s="1933"/>
      <c r="S737" s="1933"/>
      <c r="T737" s="1933"/>
      <c r="U737" s="1933"/>
      <c r="V737" s="1933"/>
      <c r="W737" s="1933"/>
      <c r="X737" s="1933"/>
      <c r="Y737" s="1933"/>
      <c r="Z737" s="1933"/>
    </row>
    <row r="738" spans="1:26" ht="12" x14ac:dyDescent="0.2">
      <c r="A738" s="1933"/>
      <c r="B738" s="1933"/>
      <c r="C738" s="1933"/>
      <c r="D738" s="1933"/>
      <c r="E738" s="1933"/>
      <c r="F738" s="1933"/>
      <c r="G738" s="1934"/>
      <c r="H738" s="1933"/>
      <c r="I738" s="1933"/>
      <c r="J738" s="1933"/>
      <c r="K738" s="1933"/>
      <c r="L738" s="1933"/>
      <c r="M738" s="1933"/>
      <c r="N738" s="1933"/>
      <c r="O738" s="1933"/>
      <c r="P738" s="1933"/>
      <c r="Q738" s="1933"/>
      <c r="R738" s="1933"/>
      <c r="S738" s="1933"/>
      <c r="T738" s="1933"/>
      <c r="U738" s="1933"/>
      <c r="V738" s="1933"/>
      <c r="W738" s="1933"/>
      <c r="X738" s="1933"/>
      <c r="Y738" s="1933"/>
      <c r="Z738" s="1933"/>
    </row>
    <row r="739" spans="1:26" ht="12" x14ac:dyDescent="0.2">
      <c r="A739" s="1933"/>
      <c r="B739" s="1933"/>
      <c r="C739" s="1933"/>
      <c r="D739" s="1933"/>
      <c r="E739" s="1933"/>
      <c r="F739" s="1933"/>
      <c r="G739" s="1934"/>
      <c r="H739" s="1933"/>
      <c r="I739" s="1933"/>
      <c r="J739" s="1933"/>
      <c r="K739" s="1933"/>
      <c r="L739" s="1933"/>
      <c r="M739" s="1933"/>
      <c r="N739" s="1933"/>
      <c r="O739" s="1933"/>
      <c r="P739" s="1933"/>
      <c r="Q739" s="1933"/>
      <c r="R739" s="1933"/>
      <c r="S739" s="1933"/>
      <c r="T739" s="1933"/>
      <c r="U739" s="1933"/>
      <c r="V739" s="1933"/>
      <c r="W739" s="1933"/>
      <c r="X739" s="1933"/>
      <c r="Y739" s="1933"/>
      <c r="Z739" s="1933"/>
    </row>
    <row r="740" spans="1:26" ht="12" x14ac:dyDescent="0.2">
      <c r="A740" s="1933"/>
      <c r="B740" s="1933"/>
      <c r="C740" s="1933"/>
      <c r="D740" s="1933"/>
      <c r="E740" s="1933"/>
      <c r="F740" s="1933"/>
      <c r="G740" s="1934"/>
      <c r="H740" s="1933"/>
      <c r="I740" s="1933"/>
      <c r="J740" s="1933"/>
      <c r="K740" s="1933"/>
      <c r="L740" s="1933"/>
      <c r="M740" s="1933"/>
      <c r="N740" s="1933"/>
      <c r="O740" s="1933"/>
      <c r="P740" s="1933"/>
      <c r="Q740" s="1933"/>
      <c r="R740" s="1933"/>
      <c r="S740" s="1933"/>
      <c r="T740" s="1933"/>
      <c r="U740" s="1933"/>
      <c r="V740" s="1933"/>
      <c r="W740" s="1933"/>
      <c r="X740" s="1933"/>
      <c r="Y740" s="1933"/>
      <c r="Z740" s="1933"/>
    </row>
    <row r="741" spans="1:26" ht="12" x14ac:dyDescent="0.2">
      <c r="A741" s="1933"/>
      <c r="B741" s="1933"/>
      <c r="C741" s="1933"/>
      <c r="D741" s="1933"/>
      <c r="E741" s="1933"/>
      <c r="F741" s="1933"/>
      <c r="G741" s="1934"/>
      <c r="H741" s="1933"/>
      <c r="I741" s="1933"/>
      <c r="J741" s="1933"/>
      <c r="K741" s="1933"/>
      <c r="L741" s="1933"/>
      <c r="M741" s="1933"/>
      <c r="N741" s="1933"/>
      <c r="O741" s="1933"/>
      <c r="P741" s="1933"/>
      <c r="Q741" s="1933"/>
      <c r="R741" s="1933"/>
      <c r="S741" s="1933"/>
      <c r="T741" s="1933"/>
      <c r="U741" s="1933"/>
      <c r="V741" s="1933"/>
      <c r="W741" s="1933"/>
      <c r="X741" s="1933"/>
      <c r="Y741" s="1933"/>
      <c r="Z741" s="1933"/>
    </row>
    <row r="742" spans="1:26" ht="12" x14ac:dyDescent="0.2">
      <c r="A742" s="1933"/>
      <c r="B742" s="1933"/>
      <c r="C742" s="1933"/>
      <c r="D742" s="1933"/>
      <c r="E742" s="1933"/>
      <c r="F742" s="1933"/>
      <c r="G742" s="1934"/>
      <c r="H742" s="1933"/>
      <c r="I742" s="1933"/>
      <c r="J742" s="1933"/>
      <c r="K742" s="1933"/>
      <c r="L742" s="1933"/>
      <c r="M742" s="1933"/>
      <c r="N742" s="1933"/>
      <c r="O742" s="1933"/>
      <c r="P742" s="1933"/>
      <c r="Q742" s="1933"/>
      <c r="R742" s="1933"/>
      <c r="S742" s="1933"/>
      <c r="T742" s="1933"/>
      <c r="U742" s="1933"/>
      <c r="V742" s="1933"/>
      <c r="W742" s="1933"/>
      <c r="X742" s="1933"/>
      <c r="Y742" s="1933"/>
      <c r="Z742" s="1933"/>
    </row>
    <row r="743" spans="1:26" ht="12" x14ac:dyDescent="0.2">
      <c r="A743" s="1933"/>
      <c r="B743" s="1933"/>
      <c r="C743" s="1933"/>
      <c r="D743" s="1933"/>
      <c r="E743" s="1933"/>
      <c r="F743" s="1933"/>
      <c r="G743" s="1934"/>
      <c r="H743" s="1933"/>
      <c r="I743" s="1933"/>
      <c r="J743" s="1933"/>
      <c r="K743" s="1933"/>
      <c r="L743" s="1933"/>
      <c r="M743" s="1933"/>
      <c r="N743" s="1933"/>
      <c r="O743" s="1933"/>
      <c r="P743" s="1933"/>
      <c r="Q743" s="1933"/>
      <c r="R743" s="1933"/>
      <c r="S743" s="1933"/>
      <c r="T743" s="1933"/>
      <c r="U743" s="1933"/>
      <c r="V743" s="1933"/>
      <c r="W743" s="1933"/>
      <c r="X743" s="1933"/>
      <c r="Y743" s="1933"/>
      <c r="Z743" s="1933"/>
    </row>
    <row r="744" spans="1:26" ht="12" x14ac:dyDescent="0.2">
      <c r="A744" s="1933"/>
      <c r="B744" s="1933"/>
      <c r="C744" s="1933"/>
      <c r="D744" s="1933"/>
      <c r="E744" s="1933"/>
      <c r="F744" s="1933"/>
      <c r="G744" s="1934"/>
      <c r="H744" s="1933"/>
      <c r="I744" s="1933"/>
      <c r="J744" s="1933"/>
      <c r="K744" s="1933"/>
      <c r="L744" s="1933"/>
      <c r="M744" s="1933"/>
      <c r="N744" s="1933"/>
      <c r="O744" s="1933"/>
      <c r="P744" s="1933"/>
      <c r="Q744" s="1933"/>
      <c r="R744" s="1933"/>
      <c r="S744" s="1933"/>
      <c r="T744" s="1933"/>
      <c r="U744" s="1933"/>
      <c r="V744" s="1933"/>
      <c r="W744" s="1933"/>
      <c r="X744" s="1933"/>
      <c r="Y744" s="1933"/>
      <c r="Z744" s="1933"/>
    </row>
    <row r="745" spans="1:26" ht="12" x14ac:dyDescent="0.2">
      <c r="A745" s="1933"/>
      <c r="B745" s="1933"/>
      <c r="C745" s="1933"/>
      <c r="D745" s="1933"/>
      <c r="E745" s="1933"/>
      <c r="F745" s="1933"/>
      <c r="G745" s="1934"/>
      <c r="H745" s="1933"/>
      <c r="I745" s="1933"/>
      <c r="J745" s="1933"/>
      <c r="K745" s="1933"/>
      <c r="L745" s="1933"/>
      <c r="M745" s="1933"/>
      <c r="N745" s="1933"/>
      <c r="O745" s="1933"/>
      <c r="P745" s="1933"/>
      <c r="Q745" s="1933"/>
      <c r="R745" s="1933"/>
      <c r="S745" s="1933"/>
      <c r="T745" s="1933"/>
      <c r="U745" s="1933"/>
      <c r="V745" s="1933"/>
      <c r="W745" s="1933"/>
      <c r="X745" s="1933"/>
      <c r="Y745" s="1933"/>
      <c r="Z745" s="1933"/>
    </row>
    <row r="746" spans="1:26" ht="12" x14ac:dyDescent="0.2">
      <c r="A746" s="1933"/>
      <c r="B746" s="1933"/>
      <c r="C746" s="1933"/>
      <c r="D746" s="1933"/>
      <c r="E746" s="1933"/>
      <c r="F746" s="1933"/>
      <c r="G746" s="1934"/>
      <c r="H746" s="1933"/>
      <c r="I746" s="1933"/>
      <c r="J746" s="1933"/>
      <c r="K746" s="1933"/>
      <c r="L746" s="1933"/>
      <c r="M746" s="1933"/>
      <c r="N746" s="1933"/>
      <c r="O746" s="1933"/>
      <c r="P746" s="1933"/>
      <c r="Q746" s="1933"/>
      <c r="R746" s="1933"/>
      <c r="S746" s="1933"/>
      <c r="T746" s="1933"/>
      <c r="U746" s="1933"/>
      <c r="V746" s="1933"/>
      <c r="W746" s="1933"/>
      <c r="X746" s="1933"/>
      <c r="Y746" s="1933"/>
      <c r="Z746" s="1933"/>
    </row>
    <row r="747" spans="1:26" ht="12" x14ac:dyDescent="0.2">
      <c r="A747" s="1933"/>
      <c r="B747" s="1933"/>
      <c r="C747" s="1933"/>
      <c r="D747" s="1933"/>
      <c r="E747" s="1933"/>
      <c r="F747" s="1933"/>
      <c r="G747" s="1934"/>
      <c r="H747" s="1933"/>
      <c r="I747" s="1933"/>
      <c r="J747" s="1933"/>
      <c r="K747" s="1933"/>
      <c r="L747" s="1933"/>
      <c r="M747" s="1933"/>
      <c r="N747" s="1933"/>
      <c r="O747" s="1933"/>
      <c r="P747" s="1933"/>
      <c r="Q747" s="1933"/>
      <c r="R747" s="1933"/>
      <c r="S747" s="1933"/>
      <c r="T747" s="1933"/>
      <c r="U747" s="1933"/>
      <c r="V747" s="1933"/>
      <c r="W747" s="1933"/>
      <c r="X747" s="1933"/>
      <c r="Y747" s="1933"/>
      <c r="Z747" s="1933"/>
    </row>
    <row r="748" spans="1:26" ht="12" x14ac:dyDescent="0.2">
      <c r="A748" s="1933"/>
      <c r="B748" s="1933"/>
      <c r="C748" s="1933"/>
      <c r="D748" s="1933"/>
      <c r="E748" s="1933"/>
      <c r="F748" s="1933"/>
      <c r="G748" s="1934"/>
      <c r="H748" s="1933"/>
      <c r="I748" s="1933"/>
      <c r="J748" s="1933"/>
      <c r="K748" s="1933"/>
      <c r="L748" s="1933"/>
      <c r="M748" s="1933"/>
      <c r="N748" s="1933"/>
      <c r="O748" s="1933"/>
      <c r="P748" s="1933"/>
      <c r="Q748" s="1933"/>
      <c r="R748" s="1933"/>
      <c r="S748" s="1933"/>
      <c r="T748" s="1933"/>
      <c r="U748" s="1933"/>
      <c r="V748" s="1933"/>
      <c r="W748" s="1933"/>
      <c r="X748" s="1933"/>
      <c r="Y748" s="1933"/>
      <c r="Z748" s="1933"/>
    </row>
    <row r="749" spans="1:26" ht="12" x14ac:dyDescent="0.2">
      <c r="A749" s="1933"/>
      <c r="B749" s="1933"/>
      <c r="C749" s="1933"/>
      <c r="D749" s="1933"/>
      <c r="E749" s="1933"/>
      <c r="F749" s="1933"/>
      <c r="G749" s="1934"/>
      <c r="H749" s="1933"/>
      <c r="I749" s="1933"/>
      <c r="J749" s="1933"/>
      <c r="K749" s="1933"/>
      <c r="L749" s="1933"/>
      <c r="M749" s="1933"/>
      <c r="N749" s="1933"/>
      <c r="O749" s="1933"/>
      <c r="P749" s="1933"/>
      <c r="Q749" s="1933"/>
      <c r="R749" s="1933"/>
      <c r="S749" s="1933"/>
      <c r="T749" s="1933"/>
      <c r="U749" s="1933"/>
      <c r="V749" s="1933"/>
      <c r="W749" s="1933"/>
      <c r="X749" s="1933"/>
      <c r="Y749" s="1933"/>
      <c r="Z749" s="1933"/>
    </row>
    <row r="750" spans="1:26" ht="12" x14ac:dyDescent="0.2">
      <c r="A750" s="1933"/>
      <c r="B750" s="1933"/>
      <c r="C750" s="1933"/>
      <c r="D750" s="1933"/>
      <c r="E750" s="1933"/>
      <c r="F750" s="1933"/>
      <c r="G750" s="1934"/>
      <c r="H750" s="1933"/>
      <c r="I750" s="1933"/>
      <c r="J750" s="1933"/>
      <c r="K750" s="1933"/>
      <c r="L750" s="1933"/>
      <c r="M750" s="1933"/>
      <c r="N750" s="1933"/>
      <c r="O750" s="1933"/>
      <c r="P750" s="1933"/>
      <c r="Q750" s="1933"/>
      <c r="R750" s="1933"/>
      <c r="S750" s="1933"/>
      <c r="T750" s="1933"/>
      <c r="U750" s="1933"/>
      <c r="V750" s="1933"/>
      <c r="W750" s="1933"/>
      <c r="X750" s="1933"/>
      <c r="Y750" s="1933"/>
      <c r="Z750" s="1933"/>
    </row>
    <row r="751" spans="1:26" ht="12" x14ac:dyDescent="0.2">
      <c r="A751" s="1933"/>
      <c r="B751" s="1933"/>
      <c r="C751" s="1933"/>
      <c r="D751" s="1933"/>
      <c r="E751" s="1933"/>
      <c r="F751" s="1933"/>
      <c r="G751" s="1934"/>
      <c r="H751" s="1933"/>
      <c r="I751" s="1933"/>
      <c r="J751" s="1933"/>
      <c r="K751" s="1933"/>
      <c r="L751" s="1933"/>
      <c r="M751" s="1933"/>
      <c r="N751" s="1933"/>
      <c r="O751" s="1933"/>
      <c r="P751" s="1933"/>
      <c r="Q751" s="1933"/>
      <c r="R751" s="1933"/>
      <c r="S751" s="1933"/>
      <c r="T751" s="1933"/>
      <c r="U751" s="1933"/>
      <c r="V751" s="1933"/>
      <c r="W751" s="1933"/>
      <c r="X751" s="1933"/>
      <c r="Y751" s="1933"/>
      <c r="Z751" s="1933"/>
    </row>
    <row r="752" spans="1:26" ht="12" x14ac:dyDescent="0.2">
      <c r="A752" s="1933"/>
      <c r="B752" s="1933"/>
      <c r="C752" s="1933"/>
      <c r="D752" s="1933"/>
      <c r="E752" s="1933"/>
      <c r="F752" s="1933"/>
      <c r="G752" s="1934"/>
      <c r="H752" s="1933"/>
      <c r="I752" s="1933"/>
      <c r="J752" s="1933"/>
      <c r="K752" s="1933"/>
      <c r="L752" s="1933"/>
      <c r="M752" s="1933"/>
      <c r="N752" s="1933"/>
      <c r="O752" s="1933"/>
      <c r="P752" s="1933"/>
      <c r="Q752" s="1933"/>
      <c r="R752" s="1933"/>
      <c r="S752" s="1933"/>
      <c r="T752" s="1933"/>
      <c r="U752" s="1933"/>
      <c r="V752" s="1933"/>
      <c r="W752" s="1933"/>
      <c r="X752" s="1933"/>
      <c r="Y752" s="1933"/>
      <c r="Z752" s="1933"/>
    </row>
    <row r="753" spans="1:26" ht="12" x14ac:dyDescent="0.2">
      <c r="A753" s="1933"/>
      <c r="B753" s="1933"/>
      <c r="C753" s="1933"/>
      <c r="D753" s="1933"/>
      <c r="E753" s="1933"/>
      <c r="F753" s="1933"/>
      <c r="G753" s="1934"/>
      <c r="H753" s="1933"/>
      <c r="I753" s="1933"/>
      <c r="J753" s="1933"/>
      <c r="K753" s="1933"/>
      <c r="L753" s="1933"/>
      <c r="M753" s="1933"/>
      <c r="N753" s="1933"/>
      <c r="O753" s="1933"/>
      <c r="P753" s="1933"/>
      <c r="Q753" s="1933"/>
      <c r="R753" s="1933"/>
      <c r="S753" s="1933"/>
      <c r="T753" s="1933"/>
      <c r="U753" s="1933"/>
      <c r="V753" s="1933"/>
      <c r="W753" s="1933"/>
      <c r="X753" s="1933"/>
      <c r="Y753" s="1933"/>
      <c r="Z753" s="1933"/>
    </row>
    <row r="754" spans="1:26" ht="12" x14ac:dyDescent="0.2">
      <c r="A754" s="1933"/>
      <c r="B754" s="1933"/>
      <c r="C754" s="1933"/>
      <c r="D754" s="1933"/>
      <c r="E754" s="1933"/>
      <c r="F754" s="1933"/>
      <c r="G754" s="1934"/>
      <c r="H754" s="1933"/>
      <c r="I754" s="1933"/>
      <c r="J754" s="1933"/>
      <c r="K754" s="1933"/>
      <c r="L754" s="1933"/>
      <c r="M754" s="1933"/>
      <c r="N754" s="1933"/>
      <c r="O754" s="1933"/>
      <c r="P754" s="1933"/>
      <c r="Q754" s="1933"/>
      <c r="R754" s="1933"/>
      <c r="S754" s="1933"/>
      <c r="T754" s="1933"/>
      <c r="U754" s="1933"/>
      <c r="V754" s="1933"/>
      <c r="W754" s="1933"/>
      <c r="X754" s="1933"/>
      <c r="Y754" s="1933"/>
      <c r="Z754" s="1933"/>
    </row>
    <row r="755" spans="1:26" ht="12" x14ac:dyDescent="0.2">
      <c r="A755" s="1933"/>
      <c r="B755" s="1933"/>
      <c r="C755" s="1933"/>
      <c r="D755" s="1933"/>
      <c r="E755" s="1933"/>
      <c r="F755" s="1933"/>
      <c r="G755" s="1934"/>
      <c r="H755" s="1933"/>
      <c r="I755" s="1933"/>
      <c r="J755" s="1933"/>
      <c r="K755" s="1933"/>
      <c r="L755" s="1933"/>
      <c r="M755" s="1933"/>
      <c r="N755" s="1933"/>
      <c r="O755" s="1933"/>
      <c r="P755" s="1933"/>
      <c r="Q755" s="1933"/>
      <c r="R755" s="1933"/>
      <c r="S755" s="1933"/>
      <c r="T755" s="1933"/>
      <c r="U755" s="1933"/>
      <c r="V755" s="1933"/>
      <c r="W755" s="1933"/>
      <c r="X755" s="1933"/>
      <c r="Y755" s="1933"/>
      <c r="Z755" s="1933"/>
    </row>
    <row r="756" spans="1:26" ht="12" x14ac:dyDescent="0.2">
      <c r="A756" s="1933"/>
      <c r="B756" s="1933"/>
      <c r="C756" s="1933"/>
      <c r="D756" s="1933"/>
      <c r="E756" s="1933"/>
      <c r="F756" s="1933"/>
      <c r="G756" s="1934"/>
      <c r="H756" s="1933"/>
      <c r="I756" s="1933"/>
      <c r="J756" s="1933"/>
      <c r="K756" s="1933"/>
      <c r="L756" s="1933"/>
      <c r="M756" s="1933"/>
      <c r="N756" s="1933"/>
      <c r="O756" s="1933"/>
      <c r="P756" s="1933"/>
      <c r="Q756" s="1933"/>
      <c r="R756" s="1933"/>
      <c r="S756" s="1933"/>
      <c r="T756" s="1933"/>
      <c r="U756" s="1933"/>
      <c r="V756" s="1933"/>
      <c r="W756" s="1933"/>
      <c r="X756" s="1933"/>
      <c r="Y756" s="1933"/>
      <c r="Z756" s="1933"/>
    </row>
    <row r="757" spans="1:26" ht="12" x14ac:dyDescent="0.2">
      <c r="A757" s="1933"/>
      <c r="B757" s="1933"/>
      <c r="C757" s="1933"/>
      <c r="D757" s="1933"/>
      <c r="E757" s="1933"/>
      <c r="F757" s="1933"/>
      <c r="G757" s="1934"/>
      <c r="H757" s="1933"/>
      <c r="I757" s="1933"/>
      <c r="J757" s="1933"/>
      <c r="K757" s="1933"/>
      <c r="L757" s="1933"/>
      <c r="M757" s="1933"/>
      <c r="N757" s="1933"/>
      <c r="O757" s="1933"/>
      <c r="P757" s="1933"/>
      <c r="Q757" s="1933"/>
      <c r="R757" s="1933"/>
      <c r="S757" s="1933"/>
      <c r="T757" s="1933"/>
      <c r="U757" s="1933"/>
      <c r="V757" s="1933"/>
      <c r="W757" s="1933"/>
      <c r="X757" s="1933"/>
      <c r="Y757" s="1933"/>
      <c r="Z757" s="1933"/>
    </row>
    <row r="758" spans="1:26" ht="12" x14ac:dyDescent="0.2">
      <c r="A758" s="1933"/>
      <c r="B758" s="1933"/>
      <c r="C758" s="1933"/>
      <c r="D758" s="1933"/>
      <c r="E758" s="1933"/>
      <c r="F758" s="1933"/>
      <c r="G758" s="1934"/>
      <c r="H758" s="1933"/>
      <c r="I758" s="1933"/>
      <c r="J758" s="1933"/>
      <c r="K758" s="1933"/>
      <c r="L758" s="1933"/>
      <c r="M758" s="1933"/>
      <c r="N758" s="1933"/>
      <c r="O758" s="1933"/>
      <c r="P758" s="1933"/>
      <c r="Q758" s="1933"/>
      <c r="R758" s="1933"/>
      <c r="S758" s="1933"/>
      <c r="T758" s="1933"/>
      <c r="U758" s="1933"/>
      <c r="V758" s="1933"/>
      <c r="W758" s="1933"/>
      <c r="X758" s="1933"/>
      <c r="Y758" s="1933"/>
      <c r="Z758" s="1933"/>
    </row>
    <row r="759" spans="1:26" ht="12" x14ac:dyDescent="0.2">
      <c r="A759" s="1933"/>
      <c r="B759" s="1933"/>
      <c r="C759" s="1933"/>
      <c r="D759" s="1933"/>
      <c r="E759" s="1933"/>
      <c r="F759" s="1933"/>
      <c r="G759" s="1934"/>
      <c r="H759" s="1933"/>
      <c r="I759" s="1933"/>
      <c r="J759" s="1933"/>
      <c r="K759" s="1933"/>
      <c r="L759" s="1933"/>
      <c r="M759" s="1933"/>
      <c r="N759" s="1933"/>
      <c r="O759" s="1933"/>
      <c r="P759" s="1933"/>
      <c r="Q759" s="1933"/>
      <c r="R759" s="1933"/>
      <c r="S759" s="1933"/>
      <c r="T759" s="1933"/>
      <c r="U759" s="1933"/>
      <c r="V759" s="1933"/>
      <c r="W759" s="1933"/>
      <c r="X759" s="1933"/>
      <c r="Y759" s="1933"/>
      <c r="Z759" s="1933"/>
    </row>
    <row r="760" spans="1:26" ht="12" x14ac:dyDescent="0.2">
      <c r="A760" s="1933"/>
      <c r="B760" s="1933"/>
      <c r="C760" s="1933"/>
      <c r="D760" s="1933"/>
      <c r="E760" s="1933"/>
      <c r="F760" s="1933"/>
      <c r="G760" s="1934"/>
      <c r="H760" s="1933"/>
      <c r="I760" s="1933"/>
      <c r="J760" s="1933"/>
      <c r="K760" s="1933"/>
      <c r="L760" s="1933"/>
      <c r="M760" s="1933"/>
      <c r="N760" s="1933"/>
      <c r="O760" s="1933"/>
      <c r="P760" s="1933"/>
      <c r="Q760" s="1933"/>
      <c r="R760" s="1933"/>
      <c r="S760" s="1933"/>
      <c r="T760" s="1933"/>
      <c r="U760" s="1933"/>
      <c r="V760" s="1933"/>
      <c r="W760" s="1933"/>
      <c r="X760" s="1933"/>
      <c r="Y760" s="1933"/>
      <c r="Z760" s="1933"/>
    </row>
    <row r="761" spans="1:26" ht="12" x14ac:dyDescent="0.2">
      <c r="A761" s="1933"/>
      <c r="B761" s="1933"/>
      <c r="C761" s="1933"/>
      <c r="D761" s="1933"/>
      <c r="E761" s="1933"/>
      <c r="F761" s="1933"/>
      <c r="G761" s="1934"/>
      <c r="H761" s="1933"/>
      <c r="I761" s="1933"/>
      <c r="J761" s="1933"/>
      <c r="K761" s="1933"/>
      <c r="L761" s="1933"/>
      <c r="M761" s="1933"/>
      <c r="N761" s="1933"/>
      <c r="O761" s="1933"/>
      <c r="P761" s="1933"/>
      <c r="Q761" s="1933"/>
      <c r="R761" s="1933"/>
      <c r="S761" s="1933"/>
      <c r="T761" s="1933"/>
      <c r="U761" s="1933"/>
      <c r="V761" s="1933"/>
      <c r="W761" s="1933"/>
      <c r="X761" s="1933"/>
      <c r="Y761" s="1933"/>
      <c r="Z761" s="1933"/>
    </row>
    <row r="762" spans="1:26" ht="12" x14ac:dyDescent="0.2">
      <c r="A762" s="1933"/>
      <c r="B762" s="1933"/>
      <c r="C762" s="1933"/>
      <c r="D762" s="1933"/>
      <c r="E762" s="1933"/>
      <c r="F762" s="1933"/>
      <c r="G762" s="1934"/>
      <c r="H762" s="1933"/>
      <c r="I762" s="1933"/>
      <c r="J762" s="1933"/>
      <c r="K762" s="1933"/>
      <c r="L762" s="1933"/>
      <c r="M762" s="1933"/>
      <c r="N762" s="1933"/>
      <c r="O762" s="1933"/>
      <c r="P762" s="1933"/>
      <c r="Q762" s="1933"/>
      <c r="R762" s="1933"/>
      <c r="S762" s="1933"/>
      <c r="T762" s="1933"/>
      <c r="U762" s="1933"/>
      <c r="V762" s="1933"/>
      <c r="W762" s="1933"/>
      <c r="X762" s="1933"/>
      <c r="Y762" s="1933"/>
      <c r="Z762" s="1933"/>
    </row>
    <row r="763" spans="1:26" ht="12" x14ac:dyDescent="0.2">
      <c r="A763" s="1933"/>
      <c r="B763" s="1933"/>
      <c r="C763" s="1933"/>
      <c r="D763" s="1933"/>
      <c r="E763" s="1933"/>
      <c r="F763" s="1933"/>
      <c r="G763" s="1934"/>
      <c r="H763" s="1933"/>
      <c r="I763" s="1933"/>
      <c r="J763" s="1933"/>
      <c r="K763" s="1933"/>
      <c r="L763" s="1933"/>
      <c r="M763" s="1933"/>
      <c r="N763" s="1933"/>
      <c r="O763" s="1933"/>
      <c r="P763" s="1933"/>
      <c r="Q763" s="1933"/>
      <c r="R763" s="1933"/>
      <c r="S763" s="1933"/>
      <c r="T763" s="1933"/>
      <c r="U763" s="1933"/>
      <c r="V763" s="1933"/>
      <c r="W763" s="1933"/>
      <c r="X763" s="1933"/>
      <c r="Y763" s="1933"/>
      <c r="Z763" s="1933"/>
    </row>
    <row r="764" spans="1:26" ht="12" x14ac:dyDescent="0.2">
      <c r="A764" s="1933"/>
      <c r="B764" s="1933"/>
      <c r="C764" s="1933"/>
      <c r="D764" s="1933"/>
      <c r="E764" s="1933"/>
      <c r="F764" s="1933"/>
      <c r="G764" s="1934"/>
      <c r="H764" s="1933"/>
      <c r="I764" s="1933"/>
      <c r="J764" s="1933"/>
      <c r="K764" s="1933"/>
      <c r="L764" s="1933"/>
      <c r="M764" s="1933"/>
      <c r="N764" s="1933"/>
      <c r="O764" s="1933"/>
      <c r="P764" s="1933"/>
      <c r="Q764" s="1933"/>
      <c r="R764" s="1933"/>
      <c r="S764" s="1933"/>
      <c r="T764" s="1933"/>
      <c r="U764" s="1933"/>
      <c r="V764" s="1933"/>
      <c r="W764" s="1933"/>
      <c r="X764" s="1933"/>
      <c r="Y764" s="1933"/>
      <c r="Z764" s="1933"/>
    </row>
    <row r="765" spans="1:26" ht="12" x14ac:dyDescent="0.2">
      <c r="A765" s="1933"/>
      <c r="B765" s="1933"/>
      <c r="C765" s="1933"/>
      <c r="D765" s="1933"/>
      <c r="E765" s="1933"/>
      <c r="F765" s="1933"/>
      <c r="G765" s="1934"/>
      <c r="H765" s="1933"/>
      <c r="I765" s="1933"/>
      <c r="J765" s="1933"/>
      <c r="K765" s="1933"/>
      <c r="L765" s="1933"/>
      <c r="M765" s="1933"/>
      <c r="N765" s="1933"/>
      <c r="O765" s="1933"/>
      <c r="P765" s="1933"/>
      <c r="Q765" s="1933"/>
      <c r="R765" s="1933"/>
      <c r="S765" s="1933"/>
      <c r="T765" s="1933"/>
      <c r="U765" s="1933"/>
      <c r="V765" s="1933"/>
      <c r="W765" s="1933"/>
      <c r="X765" s="1933"/>
      <c r="Y765" s="1933"/>
      <c r="Z765" s="1933"/>
    </row>
    <row r="766" spans="1:26" ht="12" x14ac:dyDescent="0.2">
      <c r="A766" s="1933"/>
      <c r="B766" s="1933"/>
      <c r="C766" s="1933"/>
      <c r="D766" s="1933"/>
      <c r="E766" s="1933"/>
      <c r="F766" s="1933"/>
      <c r="G766" s="1934"/>
      <c r="H766" s="1933"/>
      <c r="I766" s="1933"/>
      <c r="J766" s="1933"/>
      <c r="K766" s="1933"/>
      <c r="L766" s="1933"/>
      <c r="M766" s="1933"/>
      <c r="N766" s="1933"/>
      <c r="O766" s="1933"/>
      <c r="P766" s="1933"/>
      <c r="Q766" s="1933"/>
      <c r="R766" s="1933"/>
      <c r="S766" s="1933"/>
      <c r="T766" s="1933"/>
      <c r="U766" s="1933"/>
      <c r="V766" s="1933"/>
      <c r="W766" s="1933"/>
      <c r="X766" s="1933"/>
      <c r="Y766" s="1933"/>
      <c r="Z766" s="1933"/>
    </row>
    <row r="767" spans="1:26" ht="12" x14ac:dyDescent="0.2">
      <c r="A767" s="1933"/>
      <c r="B767" s="1933"/>
      <c r="C767" s="1933"/>
      <c r="D767" s="1933"/>
      <c r="E767" s="1933"/>
      <c r="F767" s="1933"/>
      <c r="G767" s="1934"/>
      <c r="H767" s="1933"/>
      <c r="I767" s="1933"/>
      <c r="J767" s="1933"/>
      <c r="K767" s="1933"/>
      <c r="L767" s="1933"/>
      <c r="M767" s="1933"/>
      <c r="N767" s="1933"/>
      <c r="O767" s="1933"/>
      <c r="P767" s="1933"/>
      <c r="Q767" s="1933"/>
      <c r="R767" s="1933"/>
      <c r="S767" s="1933"/>
      <c r="T767" s="1933"/>
      <c r="U767" s="1933"/>
      <c r="V767" s="1933"/>
      <c r="W767" s="1933"/>
      <c r="X767" s="1933"/>
      <c r="Y767" s="1933"/>
      <c r="Z767" s="1933"/>
    </row>
    <row r="768" spans="1:26" ht="12" x14ac:dyDescent="0.2">
      <c r="A768" s="1933"/>
      <c r="B768" s="1933"/>
      <c r="C768" s="1933"/>
      <c r="D768" s="1933"/>
      <c r="E768" s="1933"/>
      <c r="F768" s="1933"/>
      <c r="G768" s="1934"/>
      <c r="H768" s="1933"/>
      <c r="I768" s="1933"/>
      <c r="J768" s="1933"/>
      <c r="K768" s="1933"/>
      <c r="L768" s="1933"/>
      <c r="M768" s="1933"/>
      <c r="N768" s="1933"/>
      <c r="O768" s="1933"/>
      <c r="P768" s="1933"/>
      <c r="Q768" s="1933"/>
      <c r="R768" s="1933"/>
      <c r="S768" s="1933"/>
      <c r="T768" s="1933"/>
      <c r="U768" s="1933"/>
      <c r="V768" s="1933"/>
      <c r="W768" s="1933"/>
      <c r="X768" s="1933"/>
      <c r="Y768" s="1933"/>
      <c r="Z768" s="1933"/>
    </row>
    <row r="769" spans="1:26" ht="12" x14ac:dyDescent="0.2">
      <c r="A769" s="1933"/>
      <c r="B769" s="1933"/>
      <c r="C769" s="1933"/>
      <c r="D769" s="1933"/>
      <c r="E769" s="1933"/>
      <c r="F769" s="1933"/>
      <c r="G769" s="1934"/>
      <c r="H769" s="1933"/>
      <c r="I769" s="1933"/>
      <c r="J769" s="1933"/>
      <c r="K769" s="1933"/>
      <c r="L769" s="1933"/>
      <c r="M769" s="1933"/>
      <c r="N769" s="1933"/>
      <c r="O769" s="1933"/>
      <c r="P769" s="1933"/>
      <c r="Q769" s="1933"/>
      <c r="R769" s="1933"/>
      <c r="S769" s="1933"/>
      <c r="T769" s="1933"/>
      <c r="U769" s="1933"/>
      <c r="V769" s="1933"/>
      <c r="W769" s="1933"/>
      <c r="X769" s="1933"/>
      <c r="Y769" s="1933"/>
      <c r="Z769" s="1933"/>
    </row>
    <row r="770" spans="1:26" ht="12" x14ac:dyDescent="0.2">
      <c r="A770" s="1933"/>
      <c r="B770" s="1933"/>
      <c r="C770" s="1933"/>
      <c r="D770" s="1933"/>
      <c r="E770" s="1933"/>
      <c r="F770" s="1933"/>
      <c r="G770" s="1934"/>
      <c r="H770" s="1933"/>
      <c r="I770" s="1933"/>
      <c r="J770" s="1933"/>
      <c r="K770" s="1933"/>
      <c r="L770" s="1933"/>
      <c r="M770" s="1933"/>
      <c r="N770" s="1933"/>
      <c r="O770" s="1933"/>
      <c r="P770" s="1933"/>
      <c r="Q770" s="1933"/>
      <c r="R770" s="1933"/>
      <c r="S770" s="1933"/>
      <c r="T770" s="1933"/>
      <c r="U770" s="1933"/>
      <c r="V770" s="1933"/>
      <c r="W770" s="1933"/>
      <c r="X770" s="1933"/>
      <c r="Y770" s="1933"/>
      <c r="Z770" s="1933"/>
    </row>
    <row r="771" spans="1:26" ht="12" x14ac:dyDescent="0.2">
      <c r="A771" s="1933"/>
      <c r="B771" s="1933"/>
      <c r="C771" s="1933"/>
      <c r="D771" s="1933"/>
      <c r="E771" s="1933"/>
      <c r="F771" s="1933"/>
      <c r="G771" s="1934"/>
      <c r="H771" s="1933"/>
      <c r="I771" s="1933"/>
      <c r="J771" s="1933"/>
      <c r="K771" s="1933"/>
      <c r="L771" s="1933"/>
      <c r="M771" s="1933"/>
      <c r="N771" s="1933"/>
      <c r="O771" s="1933"/>
      <c r="P771" s="1933"/>
      <c r="Q771" s="1933"/>
      <c r="R771" s="1933"/>
      <c r="S771" s="1933"/>
      <c r="T771" s="1933"/>
      <c r="U771" s="1933"/>
      <c r="V771" s="1933"/>
      <c r="W771" s="1933"/>
      <c r="X771" s="1933"/>
      <c r="Y771" s="1933"/>
      <c r="Z771" s="1933"/>
    </row>
    <row r="772" spans="1:26" ht="12" x14ac:dyDescent="0.2">
      <c r="A772" s="1933"/>
      <c r="B772" s="1933"/>
      <c r="C772" s="1933"/>
      <c r="D772" s="1933"/>
      <c r="E772" s="1933"/>
      <c r="F772" s="1933"/>
      <c r="G772" s="1934"/>
      <c r="H772" s="1933"/>
      <c r="I772" s="1933"/>
      <c r="J772" s="1933"/>
      <c r="K772" s="1933"/>
      <c r="L772" s="1933"/>
      <c r="M772" s="1933"/>
      <c r="N772" s="1933"/>
      <c r="O772" s="1933"/>
      <c r="P772" s="1933"/>
      <c r="Q772" s="1933"/>
      <c r="R772" s="1933"/>
      <c r="S772" s="1933"/>
      <c r="T772" s="1933"/>
      <c r="U772" s="1933"/>
      <c r="V772" s="1933"/>
      <c r="W772" s="1933"/>
      <c r="X772" s="1933"/>
      <c r="Y772" s="1933"/>
      <c r="Z772" s="1933"/>
    </row>
    <row r="773" spans="1:26" ht="12" x14ac:dyDescent="0.2">
      <c r="A773" s="1933"/>
      <c r="B773" s="1933"/>
      <c r="C773" s="1933"/>
      <c r="D773" s="1933"/>
      <c r="E773" s="1933"/>
      <c r="F773" s="1933"/>
      <c r="G773" s="1934"/>
      <c r="H773" s="1933"/>
      <c r="I773" s="1933"/>
      <c r="J773" s="1933"/>
      <c r="K773" s="1933"/>
      <c r="L773" s="1933"/>
      <c r="M773" s="1933"/>
      <c r="N773" s="1933"/>
      <c r="O773" s="1933"/>
      <c r="P773" s="1933"/>
      <c r="Q773" s="1933"/>
      <c r="R773" s="1933"/>
      <c r="S773" s="1933"/>
      <c r="T773" s="1933"/>
      <c r="U773" s="1933"/>
      <c r="V773" s="1933"/>
      <c r="W773" s="1933"/>
      <c r="X773" s="1933"/>
      <c r="Y773" s="1933"/>
      <c r="Z773" s="1933"/>
    </row>
    <row r="774" spans="1:26" ht="12" x14ac:dyDescent="0.2">
      <c r="A774" s="1933"/>
      <c r="B774" s="1933"/>
      <c r="C774" s="1933"/>
      <c r="D774" s="1933"/>
      <c r="E774" s="1933"/>
      <c r="F774" s="1933"/>
      <c r="G774" s="1934"/>
      <c r="H774" s="1933"/>
      <c r="I774" s="1933"/>
      <c r="J774" s="1933"/>
      <c r="K774" s="1933"/>
      <c r="L774" s="1933"/>
      <c r="M774" s="1933"/>
      <c r="N774" s="1933"/>
      <c r="O774" s="1933"/>
      <c r="P774" s="1933"/>
      <c r="Q774" s="1933"/>
      <c r="R774" s="1933"/>
      <c r="S774" s="1933"/>
      <c r="T774" s="1933"/>
      <c r="U774" s="1933"/>
      <c r="V774" s="1933"/>
      <c r="W774" s="1933"/>
      <c r="X774" s="1933"/>
      <c r="Y774" s="1933"/>
      <c r="Z774" s="1933"/>
    </row>
    <row r="775" spans="1:26" ht="12" x14ac:dyDescent="0.2">
      <c r="A775" s="1933"/>
      <c r="B775" s="1933"/>
      <c r="C775" s="1933"/>
      <c r="D775" s="1933"/>
      <c r="E775" s="1933"/>
      <c r="F775" s="1933"/>
      <c r="G775" s="1934"/>
      <c r="H775" s="1933"/>
      <c r="I775" s="1933"/>
      <c r="J775" s="1933"/>
      <c r="K775" s="1933"/>
      <c r="L775" s="1933"/>
      <c r="M775" s="1933"/>
      <c r="N775" s="1933"/>
      <c r="O775" s="1933"/>
      <c r="P775" s="1933"/>
      <c r="Q775" s="1933"/>
      <c r="R775" s="1933"/>
      <c r="S775" s="1933"/>
      <c r="T775" s="1933"/>
      <c r="U775" s="1933"/>
      <c r="V775" s="1933"/>
      <c r="W775" s="1933"/>
      <c r="X775" s="1933"/>
      <c r="Y775" s="1933"/>
      <c r="Z775" s="1933"/>
    </row>
    <row r="776" spans="1:26" ht="12" x14ac:dyDescent="0.2">
      <c r="A776" s="1933"/>
      <c r="B776" s="1933"/>
      <c r="C776" s="1933"/>
      <c r="D776" s="1933"/>
      <c r="E776" s="1933"/>
      <c r="F776" s="1933"/>
      <c r="G776" s="1934"/>
      <c r="H776" s="1933"/>
      <c r="I776" s="1933"/>
      <c r="J776" s="1933"/>
      <c r="K776" s="1933"/>
      <c r="L776" s="1933"/>
      <c r="M776" s="1933"/>
      <c r="N776" s="1933"/>
      <c r="O776" s="1933"/>
      <c r="P776" s="1933"/>
      <c r="Q776" s="1933"/>
      <c r="R776" s="1933"/>
      <c r="S776" s="1933"/>
      <c r="T776" s="1933"/>
      <c r="U776" s="1933"/>
      <c r="V776" s="1933"/>
      <c r="W776" s="1933"/>
      <c r="X776" s="1933"/>
      <c r="Y776" s="1933"/>
      <c r="Z776" s="1933"/>
    </row>
    <row r="777" spans="1:26" ht="12" x14ac:dyDescent="0.2">
      <c r="A777" s="1933"/>
      <c r="B777" s="1933"/>
      <c r="C777" s="1933"/>
      <c r="D777" s="1933"/>
      <c r="E777" s="1933"/>
      <c r="F777" s="1933"/>
      <c r="G777" s="1934"/>
      <c r="H777" s="1933"/>
      <c r="I777" s="1933"/>
      <c r="J777" s="1933"/>
      <c r="K777" s="1933"/>
      <c r="L777" s="1933"/>
      <c r="M777" s="1933"/>
      <c r="N777" s="1933"/>
      <c r="O777" s="1933"/>
      <c r="P777" s="1933"/>
      <c r="Q777" s="1933"/>
      <c r="R777" s="1933"/>
      <c r="S777" s="1933"/>
      <c r="T777" s="1933"/>
      <c r="U777" s="1933"/>
      <c r="V777" s="1933"/>
      <c r="W777" s="1933"/>
      <c r="X777" s="1933"/>
      <c r="Y777" s="1933"/>
      <c r="Z777" s="1933"/>
    </row>
    <row r="778" spans="1:26" ht="12" x14ac:dyDescent="0.2">
      <c r="A778" s="1933"/>
      <c r="B778" s="1933"/>
      <c r="C778" s="1933"/>
      <c r="D778" s="1933"/>
      <c r="E778" s="1933"/>
      <c r="F778" s="1933"/>
      <c r="G778" s="1934"/>
      <c r="H778" s="1933"/>
      <c r="I778" s="1933"/>
      <c r="J778" s="1933"/>
      <c r="K778" s="1933"/>
      <c r="L778" s="1933"/>
      <c r="M778" s="1933"/>
      <c r="N778" s="1933"/>
      <c r="O778" s="1933"/>
      <c r="P778" s="1933"/>
      <c r="Q778" s="1933"/>
      <c r="R778" s="1933"/>
      <c r="S778" s="1933"/>
      <c r="T778" s="1933"/>
      <c r="U778" s="1933"/>
      <c r="V778" s="1933"/>
      <c r="W778" s="1933"/>
      <c r="X778" s="1933"/>
      <c r="Y778" s="1933"/>
      <c r="Z778" s="1933"/>
    </row>
    <row r="779" spans="1:26" ht="12" x14ac:dyDescent="0.2">
      <c r="A779" s="1933"/>
      <c r="B779" s="1933"/>
      <c r="C779" s="1933"/>
      <c r="D779" s="1933"/>
      <c r="E779" s="1933"/>
      <c r="F779" s="1933"/>
      <c r="G779" s="1934"/>
      <c r="H779" s="1933"/>
      <c r="I779" s="1933"/>
      <c r="J779" s="1933"/>
      <c r="K779" s="1933"/>
      <c r="L779" s="1933"/>
      <c r="M779" s="1933"/>
      <c r="N779" s="1933"/>
      <c r="O779" s="1933"/>
      <c r="P779" s="1933"/>
      <c r="Q779" s="1933"/>
      <c r="R779" s="1933"/>
      <c r="S779" s="1933"/>
      <c r="T779" s="1933"/>
      <c r="U779" s="1933"/>
      <c r="V779" s="1933"/>
      <c r="W779" s="1933"/>
      <c r="X779" s="1933"/>
      <c r="Y779" s="1933"/>
      <c r="Z779" s="1933"/>
    </row>
    <row r="780" spans="1:26" ht="12" x14ac:dyDescent="0.2">
      <c r="A780" s="1933"/>
      <c r="B780" s="1933"/>
      <c r="C780" s="1933"/>
      <c r="D780" s="1933"/>
      <c r="E780" s="1933"/>
      <c r="F780" s="1933"/>
      <c r="G780" s="1934"/>
      <c r="H780" s="1933"/>
      <c r="I780" s="1933"/>
      <c r="J780" s="1933"/>
      <c r="K780" s="1933"/>
      <c r="L780" s="1933"/>
      <c r="M780" s="1933"/>
      <c r="N780" s="1933"/>
      <c r="O780" s="1933"/>
      <c r="P780" s="1933"/>
      <c r="Q780" s="1933"/>
      <c r="R780" s="1933"/>
      <c r="S780" s="1933"/>
      <c r="T780" s="1933"/>
      <c r="U780" s="1933"/>
      <c r="V780" s="1933"/>
      <c r="W780" s="1933"/>
      <c r="X780" s="1933"/>
      <c r="Y780" s="1933"/>
      <c r="Z780" s="1933"/>
    </row>
    <row r="781" spans="1:26" ht="12" x14ac:dyDescent="0.2">
      <c r="A781" s="1933"/>
      <c r="B781" s="1933"/>
      <c r="C781" s="1933"/>
      <c r="D781" s="1933"/>
      <c r="E781" s="1933"/>
      <c r="F781" s="1933"/>
      <c r="G781" s="1934"/>
      <c r="H781" s="1933"/>
      <c r="I781" s="1933"/>
      <c r="J781" s="1933"/>
      <c r="K781" s="1933"/>
      <c r="L781" s="1933"/>
      <c r="M781" s="1933"/>
      <c r="N781" s="1933"/>
      <c r="O781" s="1933"/>
      <c r="P781" s="1933"/>
      <c r="Q781" s="1933"/>
      <c r="R781" s="1933"/>
      <c r="S781" s="1933"/>
      <c r="T781" s="1933"/>
      <c r="U781" s="1933"/>
      <c r="V781" s="1933"/>
      <c r="W781" s="1933"/>
      <c r="X781" s="1933"/>
      <c r="Y781" s="1933"/>
      <c r="Z781" s="1933"/>
    </row>
    <row r="782" spans="1:26" ht="12" x14ac:dyDescent="0.2">
      <c r="A782" s="1933"/>
      <c r="B782" s="1933"/>
      <c r="C782" s="1933"/>
      <c r="D782" s="1933"/>
      <c r="E782" s="1933"/>
      <c r="F782" s="1933"/>
      <c r="G782" s="1934"/>
      <c r="H782" s="1933"/>
      <c r="I782" s="1933"/>
      <c r="J782" s="1933"/>
      <c r="K782" s="1933"/>
      <c r="L782" s="1933"/>
      <c r="M782" s="1933"/>
      <c r="N782" s="1933"/>
      <c r="O782" s="1933"/>
      <c r="P782" s="1933"/>
      <c r="Q782" s="1933"/>
      <c r="R782" s="1933"/>
      <c r="S782" s="1933"/>
      <c r="T782" s="1933"/>
      <c r="U782" s="1933"/>
      <c r="V782" s="1933"/>
      <c r="W782" s="1933"/>
      <c r="X782" s="1933"/>
      <c r="Y782" s="1933"/>
      <c r="Z782" s="1933"/>
    </row>
    <row r="783" spans="1:26" ht="12" x14ac:dyDescent="0.2">
      <c r="A783" s="1933"/>
      <c r="B783" s="1933"/>
      <c r="C783" s="1933"/>
      <c r="D783" s="1933"/>
      <c r="E783" s="1933"/>
      <c r="F783" s="1933"/>
      <c r="G783" s="1934"/>
      <c r="H783" s="1933"/>
      <c r="I783" s="1933"/>
      <c r="J783" s="1933"/>
      <c r="K783" s="1933"/>
      <c r="L783" s="1933"/>
      <c r="M783" s="1933"/>
      <c r="N783" s="1933"/>
      <c r="O783" s="1933"/>
      <c r="P783" s="1933"/>
      <c r="Q783" s="1933"/>
      <c r="R783" s="1933"/>
      <c r="S783" s="1933"/>
      <c r="T783" s="1933"/>
      <c r="U783" s="1933"/>
      <c r="V783" s="1933"/>
      <c r="W783" s="1933"/>
      <c r="X783" s="1933"/>
      <c r="Y783" s="1933"/>
      <c r="Z783" s="1933"/>
    </row>
    <row r="784" spans="1:26" ht="12" x14ac:dyDescent="0.2">
      <c r="A784" s="1933"/>
      <c r="B784" s="1933"/>
      <c r="C784" s="1933"/>
      <c r="D784" s="1933"/>
      <c r="E784" s="1933"/>
      <c r="F784" s="1933"/>
      <c r="G784" s="1934"/>
      <c r="H784" s="1933"/>
      <c r="I784" s="1933"/>
      <c r="J784" s="1933"/>
      <c r="K784" s="1933"/>
      <c r="L784" s="1933"/>
      <c r="M784" s="1933"/>
      <c r="N784" s="1933"/>
      <c r="O784" s="1933"/>
      <c r="P784" s="1933"/>
      <c r="Q784" s="1933"/>
      <c r="R784" s="1933"/>
      <c r="S784" s="1933"/>
      <c r="T784" s="1933"/>
      <c r="U784" s="1933"/>
      <c r="V784" s="1933"/>
      <c r="W784" s="1933"/>
      <c r="X784" s="1933"/>
      <c r="Y784" s="1933"/>
      <c r="Z784" s="1933"/>
    </row>
    <row r="785" spans="1:26" ht="12" x14ac:dyDescent="0.2">
      <c r="A785" s="1933"/>
      <c r="B785" s="1933"/>
      <c r="C785" s="1933"/>
      <c r="D785" s="1933"/>
      <c r="E785" s="1933"/>
      <c r="F785" s="1933"/>
      <c r="G785" s="1934"/>
      <c r="H785" s="1933"/>
      <c r="I785" s="1933"/>
      <c r="J785" s="1933"/>
      <c r="K785" s="1933"/>
      <c r="L785" s="1933"/>
      <c r="M785" s="1933"/>
      <c r="N785" s="1933"/>
      <c r="O785" s="1933"/>
      <c r="P785" s="1933"/>
      <c r="Q785" s="1933"/>
      <c r="R785" s="1933"/>
      <c r="S785" s="1933"/>
      <c r="T785" s="1933"/>
      <c r="U785" s="1933"/>
      <c r="V785" s="1933"/>
      <c r="W785" s="1933"/>
      <c r="X785" s="1933"/>
      <c r="Y785" s="1933"/>
      <c r="Z785" s="1933"/>
    </row>
    <row r="786" spans="1:26" ht="12" x14ac:dyDescent="0.2">
      <c r="A786" s="1933"/>
      <c r="B786" s="1933"/>
      <c r="C786" s="1933"/>
      <c r="D786" s="1933"/>
      <c r="E786" s="1933"/>
      <c r="F786" s="1933"/>
      <c r="G786" s="1934"/>
      <c r="H786" s="1933"/>
      <c r="I786" s="1933"/>
      <c r="J786" s="1933"/>
      <c r="K786" s="1933"/>
      <c r="L786" s="1933"/>
      <c r="M786" s="1933"/>
      <c r="N786" s="1933"/>
      <c r="O786" s="1933"/>
      <c r="P786" s="1933"/>
      <c r="Q786" s="1933"/>
      <c r="R786" s="1933"/>
      <c r="S786" s="1933"/>
      <c r="T786" s="1933"/>
      <c r="U786" s="1933"/>
      <c r="V786" s="1933"/>
      <c r="W786" s="1933"/>
      <c r="X786" s="1933"/>
      <c r="Y786" s="1933"/>
      <c r="Z786" s="1933"/>
    </row>
    <row r="787" spans="1:26" ht="12" x14ac:dyDescent="0.2">
      <c r="A787" s="1933"/>
      <c r="B787" s="1933"/>
      <c r="C787" s="1933"/>
      <c r="D787" s="1933"/>
      <c r="E787" s="1933"/>
      <c r="F787" s="1933"/>
      <c r="G787" s="1934"/>
      <c r="H787" s="1933"/>
      <c r="I787" s="1933"/>
      <c r="J787" s="1933"/>
      <c r="K787" s="1933"/>
      <c r="L787" s="1933"/>
      <c r="M787" s="1933"/>
      <c r="N787" s="1933"/>
      <c r="O787" s="1933"/>
      <c r="P787" s="1933"/>
      <c r="Q787" s="1933"/>
      <c r="R787" s="1933"/>
      <c r="S787" s="1933"/>
      <c r="T787" s="1933"/>
      <c r="U787" s="1933"/>
      <c r="V787" s="1933"/>
      <c r="W787" s="1933"/>
      <c r="X787" s="1933"/>
      <c r="Y787" s="1933"/>
      <c r="Z787" s="1933"/>
    </row>
    <row r="788" spans="1:26" ht="12" x14ac:dyDescent="0.2">
      <c r="A788" s="1933"/>
      <c r="B788" s="1933"/>
      <c r="C788" s="1933"/>
      <c r="D788" s="1933"/>
      <c r="E788" s="1933"/>
      <c r="F788" s="1933"/>
      <c r="G788" s="1934"/>
      <c r="H788" s="1933"/>
      <c r="I788" s="1933"/>
      <c r="J788" s="1933"/>
      <c r="K788" s="1933"/>
      <c r="L788" s="1933"/>
      <c r="M788" s="1933"/>
      <c r="N788" s="1933"/>
      <c r="O788" s="1933"/>
      <c r="P788" s="1933"/>
      <c r="Q788" s="1933"/>
      <c r="R788" s="1933"/>
      <c r="S788" s="1933"/>
      <c r="T788" s="1933"/>
      <c r="U788" s="1933"/>
      <c r="V788" s="1933"/>
      <c r="W788" s="1933"/>
      <c r="X788" s="1933"/>
      <c r="Y788" s="1933"/>
      <c r="Z788" s="1933"/>
    </row>
    <row r="789" spans="1:26" ht="12" x14ac:dyDescent="0.2">
      <c r="A789" s="1933"/>
      <c r="B789" s="1933"/>
      <c r="C789" s="1933"/>
      <c r="D789" s="1933"/>
      <c r="E789" s="1933"/>
      <c r="F789" s="1933"/>
      <c r="G789" s="1934"/>
      <c r="H789" s="1933"/>
      <c r="I789" s="1933"/>
      <c r="J789" s="1933"/>
      <c r="K789" s="1933"/>
      <c r="L789" s="1933"/>
      <c r="M789" s="1933"/>
      <c r="N789" s="1933"/>
      <c r="O789" s="1933"/>
      <c r="P789" s="1933"/>
      <c r="Q789" s="1933"/>
      <c r="R789" s="1933"/>
      <c r="S789" s="1933"/>
      <c r="T789" s="1933"/>
      <c r="U789" s="1933"/>
      <c r="V789" s="1933"/>
      <c r="W789" s="1933"/>
      <c r="X789" s="1933"/>
      <c r="Y789" s="1933"/>
      <c r="Z789" s="1933"/>
    </row>
    <row r="790" spans="1:26" ht="12" x14ac:dyDescent="0.2">
      <c r="A790" s="1933"/>
      <c r="B790" s="1933"/>
      <c r="C790" s="1933"/>
      <c r="D790" s="1933"/>
      <c r="E790" s="1933"/>
      <c r="F790" s="1933"/>
      <c r="G790" s="1934"/>
      <c r="H790" s="1933"/>
      <c r="I790" s="1933"/>
      <c r="J790" s="1933"/>
      <c r="K790" s="1933"/>
      <c r="L790" s="1933"/>
      <c r="M790" s="1933"/>
      <c r="N790" s="1933"/>
      <c r="O790" s="1933"/>
      <c r="P790" s="1933"/>
      <c r="Q790" s="1933"/>
      <c r="R790" s="1933"/>
      <c r="S790" s="1933"/>
      <c r="T790" s="1933"/>
      <c r="U790" s="1933"/>
      <c r="V790" s="1933"/>
      <c r="W790" s="1933"/>
      <c r="X790" s="1933"/>
      <c r="Y790" s="1933"/>
      <c r="Z790" s="1933"/>
    </row>
    <row r="791" spans="1:26" ht="12" x14ac:dyDescent="0.2">
      <c r="A791" s="1933"/>
      <c r="B791" s="1933"/>
      <c r="C791" s="1933"/>
      <c r="D791" s="1933"/>
      <c r="E791" s="1933"/>
      <c r="F791" s="1933"/>
      <c r="G791" s="1934"/>
      <c r="H791" s="1933"/>
      <c r="I791" s="1933"/>
      <c r="J791" s="1933"/>
      <c r="K791" s="1933"/>
      <c r="L791" s="1933"/>
      <c r="M791" s="1933"/>
      <c r="N791" s="1933"/>
      <c r="O791" s="1933"/>
      <c r="P791" s="1933"/>
      <c r="Q791" s="1933"/>
      <c r="R791" s="1933"/>
      <c r="S791" s="1933"/>
      <c r="T791" s="1933"/>
      <c r="U791" s="1933"/>
      <c r="V791" s="1933"/>
      <c r="W791" s="1933"/>
      <c r="X791" s="1933"/>
      <c r="Y791" s="1933"/>
      <c r="Z791" s="1933"/>
    </row>
    <row r="792" spans="1:26" ht="12" x14ac:dyDescent="0.2">
      <c r="A792" s="1933"/>
      <c r="B792" s="1933"/>
      <c r="C792" s="1933"/>
      <c r="D792" s="1933"/>
      <c r="E792" s="1933"/>
      <c r="F792" s="1933"/>
      <c r="G792" s="1934"/>
      <c r="H792" s="1933"/>
      <c r="I792" s="1933"/>
      <c r="J792" s="1933"/>
      <c r="K792" s="1933"/>
      <c r="L792" s="1933"/>
      <c r="M792" s="1933"/>
      <c r="N792" s="1933"/>
      <c r="O792" s="1933"/>
      <c r="P792" s="1933"/>
      <c r="Q792" s="1933"/>
      <c r="R792" s="1933"/>
      <c r="S792" s="1933"/>
      <c r="T792" s="1933"/>
      <c r="U792" s="1933"/>
      <c r="V792" s="1933"/>
      <c r="W792" s="1933"/>
      <c r="X792" s="1933"/>
      <c r="Y792" s="1933"/>
      <c r="Z792" s="1933"/>
    </row>
    <row r="793" spans="1:26" ht="12" x14ac:dyDescent="0.2">
      <c r="A793" s="1933"/>
      <c r="B793" s="1933"/>
      <c r="C793" s="1933"/>
      <c r="D793" s="1933"/>
      <c r="E793" s="1933"/>
      <c r="F793" s="1933"/>
      <c r="G793" s="1934"/>
      <c r="H793" s="1933"/>
      <c r="I793" s="1933"/>
      <c r="J793" s="1933"/>
      <c r="K793" s="1933"/>
      <c r="L793" s="1933"/>
      <c r="M793" s="1933"/>
      <c r="N793" s="1933"/>
      <c r="O793" s="1933"/>
      <c r="P793" s="1933"/>
      <c r="Q793" s="1933"/>
      <c r="R793" s="1933"/>
      <c r="S793" s="1933"/>
      <c r="T793" s="1933"/>
      <c r="U793" s="1933"/>
      <c r="V793" s="1933"/>
      <c r="W793" s="1933"/>
      <c r="X793" s="1933"/>
      <c r="Y793" s="1933"/>
      <c r="Z793" s="1933"/>
    </row>
    <row r="794" spans="1:26" ht="12" x14ac:dyDescent="0.2">
      <c r="A794" s="1933"/>
      <c r="B794" s="1933"/>
      <c r="C794" s="1933"/>
      <c r="D794" s="1933"/>
      <c r="E794" s="1933"/>
      <c r="F794" s="1933"/>
      <c r="G794" s="1934"/>
      <c r="H794" s="1933"/>
      <c r="I794" s="1933"/>
      <c r="J794" s="1933"/>
      <c r="K794" s="1933"/>
      <c r="L794" s="1933"/>
      <c r="M794" s="1933"/>
      <c r="N794" s="1933"/>
      <c r="O794" s="1933"/>
      <c r="P794" s="1933"/>
      <c r="Q794" s="1933"/>
      <c r="R794" s="1933"/>
      <c r="S794" s="1933"/>
      <c r="T794" s="1933"/>
      <c r="U794" s="1933"/>
      <c r="V794" s="1933"/>
      <c r="W794" s="1933"/>
      <c r="X794" s="1933"/>
      <c r="Y794" s="1933"/>
      <c r="Z794" s="1933"/>
    </row>
    <row r="795" spans="1:26" ht="12" x14ac:dyDescent="0.2">
      <c r="A795" s="1933"/>
      <c r="B795" s="1933"/>
      <c r="C795" s="1933"/>
      <c r="D795" s="1933"/>
      <c r="E795" s="1933"/>
      <c r="F795" s="1933"/>
      <c r="G795" s="1934"/>
      <c r="H795" s="1933"/>
      <c r="I795" s="1933"/>
      <c r="J795" s="1933"/>
      <c r="K795" s="1933"/>
      <c r="L795" s="1933"/>
      <c r="M795" s="1933"/>
      <c r="N795" s="1933"/>
      <c r="O795" s="1933"/>
      <c r="P795" s="1933"/>
      <c r="Q795" s="1933"/>
      <c r="R795" s="1933"/>
      <c r="S795" s="1933"/>
      <c r="T795" s="1933"/>
      <c r="U795" s="1933"/>
      <c r="V795" s="1933"/>
      <c r="W795" s="1933"/>
      <c r="X795" s="1933"/>
      <c r="Y795" s="1933"/>
      <c r="Z795" s="1933"/>
    </row>
    <row r="796" spans="1:26" ht="12" x14ac:dyDescent="0.2">
      <c r="A796" s="1933"/>
      <c r="B796" s="1933"/>
      <c r="C796" s="1933"/>
      <c r="D796" s="1933"/>
      <c r="E796" s="1933"/>
      <c r="F796" s="1933"/>
      <c r="G796" s="1934"/>
      <c r="H796" s="1933"/>
      <c r="I796" s="1933"/>
      <c r="J796" s="1933"/>
      <c r="K796" s="1933"/>
      <c r="L796" s="1933"/>
      <c r="M796" s="1933"/>
      <c r="N796" s="1933"/>
      <c r="O796" s="1933"/>
      <c r="P796" s="1933"/>
      <c r="Q796" s="1933"/>
      <c r="R796" s="1933"/>
      <c r="S796" s="1933"/>
      <c r="T796" s="1933"/>
      <c r="U796" s="1933"/>
      <c r="V796" s="1933"/>
      <c r="W796" s="1933"/>
      <c r="X796" s="1933"/>
      <c r="Y796" s="1933"/>
      <c r="Z796" s="1933"/>
    </row>
    <row r="797" spans="1:26" ht="12" x14ac:dyDescent="0.2">
      <c r="A797" s="1933"/>
      <c r="B797" s="1933"/>
      <c r="C797" s="1933"/>
      <c r="D797" s="1933"/>
      <c r="E797" s="1933"/>
      <c r="F797" s="1933"/>
      <c r="G797" s="1934"/>
      <c r="H797" s="1933"/>
      <c r="I797" s="1933"/>
      <c r="J797" s="1933"/>
      <c r="K797" s="1933"/>
      <c r="L797" s="1933"/>
      <c r="M797" s="1933"/>
      <c r="N797" s="1933"/>
      <c r="O797" s="1933"/>
      <c r="P797" s="1933"/>
      <c r="Q797" s="1933"/>
      <c r="R797" s="1933"/>
      <c r="S797" s="1933"/>
      <c r="T797" s="1933"/>
      <c r="U797" s="1933"/>
      <c r="V797" s="1933"/>
      <c r="W797" s="1933"/>
      <c r="X797" s="1933"/>
      <c r="Y797" s="1933"/>
      <c r="Z797" s="1933"/>
    </row>
    <row r="798" spans="1:26" ht="12" x14ac:dyDescent="0.2">
      <c r="A798" s="1933"/>
      <c r="B798" s="1933"/>
      <c r="C798" s="1933"/>
      <c r="D798" s="1933"/>
      <c r="E798" s="1933"/>
      <c r="F798" s="1933"/>
      <c r="G798" s="1934"/>
      <c r="H798" s="1933"/>
      <c r="I798" s="1933"/>
      <c r="J798" s="1933"/>
      <c r="K798" s="1933"/>
      <c r="L798" s="1933"/>
      <c r="M798" s="1933"/>
      <c r="N798" s="1933"/>
      <c r="O798" s="1933"/>
      <c r="P798" s="1933"/>
      <c r="Q798" s="1933"/>
      <c r="R798" s="1933"/>
      <c r="S798" s="1933"/>
      <c r="T798" s="1933"/>
      <c r="U798" s="1933"/>
      <c r="V798" s="1933"/>
      <c r="W798" s="1933"/>
      <c r="X798" s="1933"/>
      <c r="Y798" s="1933"/>
      <c r="Z798" s="1933"/>
    </row>
    <row r="799" spans="1:26" ht="12" x14ac:dyDescent="0.2">
      <c r="A799" s="1933"/>
      <c r="B799" s="1933"/>
      <c r="C799" s="1933"/>
      <c r="D799" s="1933"/>
      <c r="E799" s="1933"/>
      <c r="F799" s="1933"/>
      <c r="G799" s="1934"/>
      <c r="H799" s="1933"/>
      <c r="I799" s="1933"/>
      <c r="J799" s="1933"/>
      <c r="K799" s="1933"/>
      <c r="L799" s="1933"/>
      <c r="M799" s="1933"/>
      <c r="N799" s="1933"/>
      <c r="O799" s="1933"/>
      <c r="P799" s="1933"/>
      <c r="Q799" s="1933"/>
      <c r="R799" s="1933"/>
      <c r="S799" s="1933"/>
      <c r="T799" s="1933"/>
      <c r="U799" s="1933"/>
      <c r="V799" s="1933"/>
      <c r="W799" s="1933"/>
      <c r="X799" s="1933"/>
      <c r="Y799" s="1933"/>
      <c r="Z799" s="1933"/>
    </row>
    <row r="800" spans="1:26" ht="12" x14ac:dyDescent="0.2">
      <c r="A800" s="1933"/>
      <c r="B800" s="1933"/>
      <c r="C800" s="1933"/>
      <c r="D800" s="1933"/>
      <c r="E800" s="1933"/>
      <c r="F800" s="1933"/>
      <c r="G800" s="1934"/>
      <c r="H800" s="1933"/>
      <c r="I800" s="1933"/>
      <c r="J800" s="1933"/>
      <c r="K800" s="1933"/>
      <c r="L800" s="1933"/>
      <c r="M800" s="1933"/>
      <c r="N800" s="1933"/>
      <c r="O800" s="1933"/>
      <c r="P800" s="1933"/>
      <c r="Q800" s="1933"/>
      <c r="R800" s="1933"/>
      <c r="S800" s="1933"/>
      <c r="T800" s="1933"/>
      <c r="U800" s="1933"/>
      <c r="V800" s="1933"/>
      <c r="W800" s="1933"/>
      <c r="X800" s="1933"/>
      <c r="Y800" s="1933"/>
      <c r="Z800" s="1933"/>
    </row>
    <row r="801" spans="1:26" ht="12" x14ac:dyDescent="0.2">
      <c r="A801" s="1933"/>
      <c r="B801" s="1933"/>
      <c r="C801" s="1933"/>
      <c r="D801" s="1933"/>
      <c r="E801" s="1933"/>
      <c r="F801" s="1933"/>
      <c r="G801" s="1934"/>
      <c r="H801" s="1933"/>
      <c r="I801" s="1933"/>
      <c r="J801" s="1933"/>
      <c r="K801" s="1933"/>
      <c r="L801" s="1933"/>
      <c r="M801" s="1933"/>
      <c r="N801" s="1933"/>
      <c r="O801" s="1933"/>
      <c r="P801" s="1933"/>
      <c r="Q801" s="1933"/>
      <c r="R801" s="1933"/>
      <c r="S801" s="1933"/>
      <c r="T801" s="1933"/>
      <c r="U801" s="1933"/>
      <c r="V801" s="1933"/>
      <c r="W801" s="1933"/>
      <c r="X801" s="1933"/>
      <c r="Y801" s="1933"/>
      <c r="Z801" s="1933"/>
    </row>
    <row r="802" spans="1:26" ht="12" x14ac:dyDescent="0.2">
      <c r="A802" s="1933"/>
      <c r="B802" s="1933"/>
      <c r="C802" s="1933"/>
      <c r="D802" s="1933"/>
      <c r="E802" s="1933"/>
      <c r="F802" s="1933"/>
      <c r="G802" s="1934"/>
      <c r="H802" s="1933"/>
      <c r="I802" s="1933"/>
      <c r="J802" s="1933"/>
      <c r="K802" s="1933"/>
      <c r="L802" s="1933"/>
      <c r="M802" s="1933"/>
      <c r="N802" s="1933"/>
      <c r="O802" s="1933"/>
      <c r="P802" s="1933"/>
      <c r="Q802" s="1933"/>
      <c r="R802" s="1933"/>
      <c r="S802" s="1933"/>
      <c r="T802" s="1933"/>
      <c r="U802" s="1933"/>
      <c r="V802" s="1933"/>
      <c r="W802" s="1933"/>
      <c r="X802" s="1933"/>
      <c r="Y802" s="1933"/>
      <c r="Z802" s="1933"/>
    </row>
    <row r="803" spans="1:26" ht="12" x14ac:dyDescent="0.2">
      <c r="A803" s="1933"/>
      <c r="B803" s="1933"/>
      <c r="C803" s="1933"/>
      <c r="D803" s="1933"/>
      <c r="E803" s="1933"/>
      <c r="F803" s="1933"/>
      <c r="G803" s="1934"/>
      <c r="H803" s="1933"/>
      <c r="I803" s="1933"/>
      <c r="J803" s="1933"/>
      <c r="K803" s="1933"/>
      <c r="L803" s="1933"/>
      <c r="M803" s="1933"/>
      <c r="N803" s="1933"/>
      <c r="O803" s="1933"/>
      <c r="P803" s="1933"/>
      <c r="Q803" s="1933"/>
      <c r="R803" s="1933"/>
      <c r="S803" s="1933"/>
      <c r="T803" s="1933"/>
      <c r="U803" s="1933"/>
      <c r="V803" s="1933"/>
      <c r="W803" s="1933"/>
      <c r="X803" s="1933"/>
      <c r="Y803" s="1933"/>
      <c r="Z803" s="1933"/>
    </row>
    <row r="804" spans="1:26" ht="12" x14ac:dyDescent="0.2">
      <c r="A804" s="1933"/>
      <c r="B804" s="1933"/>
      <c r="C804" s="1933"/>
      <c r="D804" s="1933"/>
      <c r="E804" s="1933"/>
      <c r="F804" s="1933"/>
      <c r="G804" s="1934"/>
      <c r="H804" s="1933"/>
      <c r="I804" s="1933"/>
      <c r="J804" s="1933"/>
      <c r="K804" s="1933"/>
      <c r="L804" s="1933"/>
      <c r="M804" s="1933"/>
      <c r="N804" s="1933"/>
      <c r="O804" s="1933"/>
      <c r="P804" s="1933"/>
      <c r="Q804" s="1933"/>
      <c r="R804" s="1933"/>
      <c r="S804" s="1933"/>
      <c r="T804" s="1933"/>
      <c r="U804" s="1933"/>
      <c r="V804" s="1933"/>
      <c r="W804" s="1933"/>
      <c r="X804" s="1933"/>
      <c r="Y804" s="1933"/>
      <c r="Z804" s="1933"/>
    </row>
    <row r="805" spans="1:26" ht="12" x14ac:dyDescent="0.2">
      <c r="A805" s="1933"/>
      <c r="B805" s="1933"/>
      <c r="C805" s="1933"/>
      <c r="D805" s="1933"/>
      <c r="E805" s="1933"/>
      <c r="F805" s="1933"/>
      <c r="G805" s="1934"/>
      <c r="H805" s="1933"/>
      <c r="I805" s="1933"/>
      <c r="J805" s="1933"/>
      <c r="K805" s="1933"/>
      <c r="L805" s="1933"/>
      <c r="M805" s="1933"/>
      <c r="N805" s="1933"/>
      <c r="O805" s="1933"/>
      <c r="P805" s="1933"/>
      <c r="Q805" s="1933"/>
      <c r="R805" s="1933"/>
      <c r="S805" s="1933"/>
      <c r="T805" s="1933"/>
      <c r="U805" s="1933"/>
      <c r="V805" s="1933"/>
      <c r="W805" s="1933"/>
      <c r="X805" s="1933"/>
      <c r="Y805" s="1933"/>
      <c r="Z805" s="1933"/>
    </row>
    <row r="806" spans="1:26" ht="12" x14ac:dyDescent="0.2">
      <c r="A806" s="1933"/>
      <c r="B806" s="1933"/>
      <c r="C806" s="1933"/>
      <c r="D806" s="1933"/>
      <c r="E806" s="1933"/>
      <c r="F806" s="1933"/>
      <c r="G806" s="1934"/>
      <c r="H806" s="1933"/>
      <c r="I806" s="1933"/>
      <c r="J806" s="1933"/>
      <c r="K806" s="1933"/>
      <c r="L806" s="1933"/>
      <c r="M806" s="1933"/>
      <c r="N806" s="1933"/>
      <c r="O806" s="1933"/>
      <c r="P806" s="1933"/>
      <c r="Q806" s="1933"/>
      <c r="R806" s="1933"/>
      <c r="S806" s="1933"/>
      <c r="T806" s="1933"/>
      <c r="U806" s="1933"/>
      <c r="V806" s="1933"/>
      <c r="W806" s="1933"/>
      <c r="X806" s="1933"/>
      <c r="Y806" s="1933"/>
      <c r="Z806" s="1933"/>
    </row>
    <row r="807" spans="1:26" ht="12" x14ac:dyDescent="0.2">
      <c r="A807" s="1933"/>
      <c r="B807" s="1933"/>
      <c r="C807" s="1933"/>
      <c r="D807" s="1933"/>
      <c r="E807" s="1933"/>
      <c r="F807" s="1933"/>
      <c r="G807" s="1934"/>
      <c r="H807" s="1933"/>
      <c r="I807" s="1933"/>
      <c r="J807" s="1933"/>
      <c r="K807" s="1933"/>
      <c r="L807" s="1933"/>
      <c r="M807" s="1933"/>
      <c r="N807" s="1933"/>
      <c r="O807" s="1933"/>
      <c r="P807" s="1933"/>
      <c r="Q807" s="1933"/>
      <c r="R807" s="1933"/>
      <c r="S807" s="1933"/>
      <c r="T807" s="1933"/>
      <c r="U807" s="1933"/>
      <c r="V807" s="1933"/>
      <c r="W807" s="1933"/>
      <c r="X807" s="1933"/>
      <c r="Y807" s="1933"/>
      <c r="Z807" s="1933"/>
    </row>
    <row r="808" spans="1:26" ht="12" x14ac:dyDescent="0.2">
      <c r="A808" s="1933"/>
      <c r="B808" s="1933"/>
      <c r="C808" s="1933"/>
      <c r="D808" s="1933"/>
      <c r="E808" s="1933"/>
      <c r="F808" s="1933"/>
      <c r="G808" s="1934"/>
      <c r="H808" s="1933"/>
      <c r="I808" s="1933"/>
      <c r="J808" s="1933"/>
      <c r="K808" s="1933"/>
      <c r="L808" s="1933"/>
      <c r="M808" s="1933"/>
      <c r="N808" s="1933"/>
      <c r="O808" s="1933"/>
      <c r="P808" s="1933"/>
      <c r="Q808" s="1933"/>
      <c r="R808" s="1933"/>
      <c r="S808" s="1933"/>
      <c r="T808" s="1933"/>
      <c r="U808" s="1933"/>
      <c r="V808" s="1933"/>
      <c r="W808" s="1933"/>
      <c r="X808" s="1933"/>
      <c r="Y808" s="1933"/>
      <c r="Z808" s="1933"/>
    </row>
    <row r="809" spans="1:26" ht="12" x14ac:dyDescent="0.2">
      <c r="A809" s="1933"/>
      <c r="B809" s="1933"/>
      <c r="C809" s="1933"/>
      <c r="D809" s="1933"/>
      <c r="E809" s="1933"/>
      <c r="F809" s="1933"/>
      <c r="G809" s="1934"/>
      <c r="H809" s="1933"/>
      <c r="I809" s="1933"/>
      <c r="J809" s="1933"/>
      <c r="K809" s="1933"/>
      <c r="L809" s="1933"/>
      <c r="M809" s="1933"/>
      <c r="N809" s="1933"/>
      <c r="O809" s="1933"/>
      <c r="P809" s="1933"/>
      <c r="Q809" s="1933"/>
      <c r="R809" s="1933"/>
      <c r="S809" s="1933"/>
      <c r="T809" s="1933"/>
      <c r="U809" s="1933"/>
      <c r="V809" s="1933"/>
      <c r="W809" s="1933"/>
      <c r="X809" s="1933"/>
      <c r="Y809" s="1933"/>
      <c r="Z809" s="1933"/>
    </row>
    <row r="810" spans="1:26" ht="12" x14ac:dyDescent="0.2">
      <c r="A810" s="1933"/>
      <c r="B810" s="1933"/>
      <c r="C810" s="1933"/>
      <c r="D810" s="1933"/>
      <c r="E810" s="1933"/>
      <c r="F810" s="1933"/>
      <c r="G810" s="1934"/>
      <c r="H810" s="1933"/>
      <c r="I810" s="1933"/>
      <c r="J810" s="1933"/>
      <c r="K810" s="1933"/>
      <c r="L810" s="1933"/>
      <c r="M810" s="1933"/>
      <c r="N810" s="1933"/>
      <c r="O810" s="1933"/>
      <c r="P810" s="1933"/>
      <c r="Q810" s="1933"/>
      <c r="R810" s="1933"/>
      <c r="S810" s="1933"/>
      <c r="T810" s="1933"/>
      <c r="U810" s="1933"/>
      <c r="V810" s="1933"/>
      <c r="W810" s="1933"/>
      <c r="X810" s="1933"/>
      <c r="Y810" s="1933"/>
      <c r="Z810" s="1933"/>
    </row>
    <row r="811" spans="1:26" ht="12" x14ac:dyDescent="0.2">
      <c r="A811" s="1933"/>
      <c r="B811" s="1933"/>
      <c r="C811" s="1933"/>
      <c r="D811" s="1933"/>
      <c r="E811" s="1933"/>
      <c r="F811" s="1933"/>
      <c r="G811" s="1934"/>
      <c r="H811" s="1933"/>
      <c r="I811" s="1933"/>
      <c r="J811" s="1933"/>
      <c r="K811" s="1933"/>
      <c r="L811" s="1933"/>
      <c r="M811" s="1933"/>
      <c r="N811" s="1933"/>
      <c r="O811" s="1933"/>
      <c r="P811" s="1933"/>
      <c r="Q811" s="1933"/>
      <c r="R811" s="1933"/>
      <c r="S811" s="1933"/>
      <c r="T811" s="1933"/>
      <c r="U811" s="1933"/>
      <c r="V811" s="1933"/>
      <c r="W811" s="1933"/>
      <c r="X811" s="1933"/>
      <c r="Y811" s="1933"/>
      <c r="Z811" s="1933"/>
    </row>
    <row r="812" spans="1:26" ht="12" x14ac:dyDescent="0.2">
      <c r="A812" s="1933"/>
      <c r="B812" s="1933"/>
      <c r="C812" s="1933"/>
      <c r="D812" s="1933"/>
      <c r="E812" s="1933"/>
      <c r="F812" s="1933"/>
      <c r="G812" s="1934"/>
      <c r="H812" s="1933"/>
      <c r="I812" s="1933"/>
      <c r="J812" s="1933"/>
      <c r="K812" s="1933"/>
      <c r="L812" s="1933"/>
      <c r="M812" s="1933"/>
      <c r="N812" s="1933"/>
      <c r="O812" s="1933"/>
      <c r="P812" s="1933"/>
      <c r="Q812" s="1933"/>
      <c r="R812" s="1933"/>
      <c r="S812" s="1933"/>
      <c r="T812" s="1933"/>
      <c r="U812" s="1933"/>
      <c r="V812" s="1933"/>
      <c r="W812" s="1933"/>
      <c r="X812" s="1933"/>
      <c r="Y812" s="1933"/>
      <c r="Z812" s="1933"/>
    </row>
    <row r="813" spans="1:26" ht="12" x14ac:dyDescent="0.2">
      <c r="A813" s="1933"/>
      <c r="B813" s="1933"/>
      <c r="C813" s="1933"/>
      <c r="D813" s="1933"/>
      <c r="E813" s="1933"/>
      <c r="F813" s="1933"/>
      <c r="G813" s="1934"/>
      <c r="H813" s="1933"/>
      <c r="I813" s="1933"/>
      <c r="J813" s="1933"/>
      <c r="K813" s="1933"/>
      <c r="L813" s="1933"/>
      <c r="M813" s="1933"/>
      <c r="N813" s="1933"/>
      <c r="O813" s="1933"/>
      <c r="P813" s="1933"/>
      <c r="Q813" s="1933"/>
      <c r="R813" s="1933"/>
      <c r="S813" s="1933"/>
      <c r="T813" s="1933"/>
      <c r="U813" s="1933"/>
      <c r="V813" s="1933"/>
      <c r="W813" s="1933"/>
      <c r="X813" s="1933"/>
      <c r="Y813" s="1933"/>
      <c r="Z813" s="1933"/>
    </row>
    <row r="814" spans="1:26" ht="12" x14ac:dyDescent="0.2">
      <c r="A814" s="1933"/>
      <c r="B814" s="1933"/>
      <c r="C814" s="1933"/>
      <c r="D814" s="1933"/>
      <c r="E814" s="1933"/>
      <c r="F814" s="1933"/>
      <c r="G814" s="1934"/>
      <c r="H814" s="1933"/>
      <c r="I814" s="1933"/>
      <c r="J814" s="1933"/>
      <c r="K814" s="1933"/>
      <c r="L814" s="1933"/>
      <c r="M814" s="1933"/>
      <c r="N814" s="1933"/>
      <c r="O814" s="1933"/>
      <c r="P814" s="1933"/>
      <c r="Q814" s="1933"/>
      <c r="R814" s="1933"/>
      <c r="S814" s="1933"/>
      <c r="T814" s="1933"/>
      <c r="U814" s="1933"/>
      <c r="V814" s="1933"/>
      <c r="W814" s="1933"/>
      <c r="X814" s="1933"/>
      <c r="Y814" s="1933"/>
      <c r="Z814" s="1933"/>
    </row>
    <row r="815" spans="1:26" ht="12" x14ac:dyDescent="0.2">
      <c r="A815" s="1933"/>
      <c r="B815" s="1933"/>
      <c r="C815" s="1933"/>
      <c r="D815" s="1933"/>
      <c r="E815" s="1933"/>
      <c r="F815" s="1933"/>
      <c r="G815" s="1934"/>
      <c r="H815" s="1933"/>
      <c r="I815" s="1933"/>
      <c r="J815" s="1933"/>
      <c r="K815" s="1933"/>
      <c r="L815" s="1933"/>
      <c r="M815" s="1933"/>
      <c r="N815" s="1933"/>
      <c r="O815" s="1933"/>
      <c r="P815" s="1933"/>
      <c r="Q815" s="1933"/>
      <c r="R815" s="1933"/>
      <c r="S815" s="1933"/>
      <c r="T815" s="1933"/>
      <c r="U815" s="1933"/>
      <c r="V815" s="1933"/>
      <c r="W815" s="1933"/>
      <c r="X815" s="1933"/>
      <c r="Y815" s="1933"/>
      <c r="Z815" s="1933"/>
    </row>
    <row r="816" spans="1:26" ht="12" x14ac:dyDescent="0.2">
      <c r="A816" s="1933"/>
      <c r="B816" s="1933"/>
      <c r="C816" s="1933"/>
      <c r="D816" s="1933"/>
      <c r="E816" s="1933"/>
      <c r="F816" s="1933"/>
      <c r="G816" s="1934"/>
      <c r="H816" s="1933"/>
      <c r="I816" s="1933"/>
      <c r="J816" s="1933"/>
      <c r="K816" s="1933"/>
      <c r="L816" s="1933"/>
      <c r="M816" s="1933"/>
      <c r="N816" s="1933"/>
      <c r="O816" s="1933"/>
      <c r="P816" s="1933"/>
      <c r="Q816" s="1933"/>
      <c r="R816" s="1933"/>
      <c r="S816" s="1933"/>
      <c r="T816" s="1933"/>
      <c r="U816" s="1933"/>
      <c r="V816" s="1933"/>
      <c r="W816" s="1933"/>
      <c r="X816" s="1933"/>
      <c r="Y816" s="1933"/>
      <c r="Z816" s="1933"/>
    </row>
    <row r="817" spans="1:26" ht="12" x14ac:dyDescent="0.2">
      <c r="A817" s="1933"/>
      <c r="B817" s="1933"/>
      <c r="C817" s="1933"/>
      <c r="D817" s="1933"/>
      <c r="E817" s="1933"/>
      <c r="F817" s="1933"/>
      <c r="G817" s="1934"/>
      <c r="H817" s="1933"/>
      <c r="I817" s="1933"/>
      <c r="J817" s="1933"/>
      <c r="K817" s="1933"/>
      <c r="L817" s="1933"/>
      <c r="M817" s="1933"/>
      <c r="N817" s="1933"/>
      <c r="O817" s="1933"/>
      <c r="P817" s="1933"/>
      <c r="Q817" s="1933"/>
      <c r="R817" s="1933"/>
      <c r="S817" s="1933"/>
      <c r="T817" s="1933"/>
      <c r="U817" s="1933"/>
      <c r="V817" s="1933"/>
      <c r="W817" s="1933"/>
      <c r="X817" s="1933"/>
      <c r="Y817" s="1933"/>
      <c r="Z817" s="1933"/>
    </row>
    <row r="818" spans="1:26" ht="12" x14ac:dyDescent="0.2">
      <c r="A818" s="1933"/>
      <c r="B818" s="1933"/>
      <c r="C818" s="1933"/>
      <c r="D818" s="1933"/>
      <c r="E818" s="1933"/>
      <c r="F818" s="1933"/>
      <c r="G818" s="1934"/>
      <c r="H818" s="1933"/>
      <c r="I818" s="1933"/>
      <c r="J818" s="1933"/>
      <c r="K818" s="1933"/>
      <c r="L818" s="1933"/>
      <c r="M818" s="1933"/>
      <c r="N818" s="1933"/>
      <c r="O818" s="1933"/>
      <c r="P818" s="1933"/>
      <c r="Q818" s="1933"/>
      <c r="R818" s="1933"/>
      <c r="S818" s="1933"/>
      <c r="T818" s="1933"/>
      <c r="U818" s="1933"/>
      <c r="V818" s="1933"/>
      <c r="W818" s="1933"/>
      <c r="X818" s="1933"/>
      <c r="Y818" s="1933"/>
      <c r="Z818" s="1933"/>
    </row>
    <row r="819" spans="1:26" ht="12" x14ac:dyDescent="0.2">
      <c r="A819" s="1933"/>
      <c r="B819" s="1933"/>
      <c r="C819" s="1933"/>
      <c r="D819" s="1933"/>
      <c r="E819" s="1933"/>
      <c r="F819" s="1933"/>
      <c r="G819" s="1934"/>
      <c r="H819" s="1933"/>
      <c r="I819" s="1933"/>
      <c r="J819" s="1933"/>
      <c r="K819" s="1933"/>
      <c r="L819" s="1933"/>
      <c r="M819" s="1933"/>
      <c r="N819" s="1933"/>
      <c r="O819" s="1933"/>
      <c r="P819" s="1933"/>
      <c r="Q819" s="1933"/>
      <c r="R819" s="1933"/>
      <c r="S819" s="1933"/>
      <c r="T819" s="1933"/>
      <c r="U819" s="1933"/>
      <c r="V819" s="1933"/>
      <c r="W819" s="1933"/>
      <c r="X819" s="1933"/>
      <c r="Y819" s="1933"/>
      <c r="Z819" s="1933"/>
    </row>
    <row r="820" spans="1:26" ht="12" x14ac:dyDescent="0.2">
      <c r="A820" s="1933"/>
      <c r="B820" s="1933"/>
      <c r="C820" s="1933"/>
      <c r="D820" s="1933"/>
      <c r="E820" s="1933"/>
      <c r="F820" s="1933"/>
      <c r="G820" s="1934"/>
      <c r="H820" s="1933"/>
      <c r="I820" s="1933"/>
      <c r="J820" s="1933"/>
      <c r="K820" s="1933"/>
      <c r="L820" s="1933"/>
      <c r="M820" s="1933"/>
      <c r="N820" s="1933"/>
      <c r="O820" s="1933"/>
      <c r="P820" s="1933"/>
      <c r="Q820" s="1933"/>
      <c r="R820" s="1933"/>
      <c r="S820" s="1933"/>
      <c r="T820" s="1933"/>
      <c r="U820" s="1933"/>
      <c r="V820" s="1933"/>
      <c r="W820" s="1933"/>
      <c r="X820" s="1933"/>
      <c r="Y820" s="1933"/>
      <c r="Z820" s="1933"/>
    </row>
    <row r="821" spans="1:26" ht="12" x14ac:dyDescent="0.2">
      <c r="A821" s="1933"/>
      <c r="B821" s="1933"/>
      <c r="C821" s="1933"/>
      <c r="D821" s="1933"/>
      <c r="E821" s="1933"/>
      <c r="F821" s="1933"/>
      <c r="G821" s="1934"/>
      <c r="H821" s="1933"/>
      <c r="I821" s="1933"/>
      <c r="J821" s="1933"/>
      <c r="K821" s="1933"/>
      <c r="L821" s="1933"/>
      <c r="M821" s="1933"/>
      <c r="N821" s="1933"/>
      <c r="O821" s="1933"/>
      <c r="P821" s="1933"/>
      <c r="Q821" s="1933"/>
      <c r="R821" s="1933"/>
      <c r="S821" s="1933"/>
      <c r="T821" s="1933"/>
      <c r="U821" s="1933"/>
      <c r="V821" s="1933"/>
      <c r="W821" s="1933"/>
      <c r="X821" s="1933"/>
      <c r="Y821" s="1933"/>
      <c r="Z821" s="1933"/>
    </row>
    <row r="822" spans="1:26" ht="12" x14ac:dyDescent="0.2">
      <c r="A822" s="1933"/>
      <c r="B822" s="1933"/>
      <c r="C822" s="1933"/>
      <c r="D822" s="1933"/>
      <c r="E822" s="1933"/>
      <c r="F822" s="1933"/>
      <c r="G822" s="1934"/>
      <c r="H822" s="1933"/>
      <c r="I822" s="1933"/>
      <c r="J822" s="1933"/>
      <c r="K822" s="1933"/>
      <c r="L822" s="1933"/>
      <c r="M822" s="1933"/>
      <c r="N822" s="1933"/>
      <c r="O822" s="1933"/>
      <c r="P822" s="1933"/>
      <c r="Q822" s="1933"/>
      <c r="R822" s="1933"/>
      <c r="S822" s="1933"/>
      <c r="T822" s="1933"/>
      <c r="U822" s="1933"/>
      <c r="V822" s="1933"/>
      <c r="W822" s="1933"/>
      <c r="X822" s="1933"/>
      <c r="Y822" s="1933"/>
      <c r="Z822" s="1933"/>
    </row>
    <row r="823" spans="1:26" ht="12" x14ac:dyDescent="0.2">
      <c r="A823" s="1933"/>
      <c r="B823" s="1933"/>
      <c r="C823" s="1933"/>
      <c r="D823" s="1933"/>
      <c r="E823" s="1933"/>
      <c r="F823" s="1933"/>
      <c r="G823" s="1934"/>
      <c r="H823" s="1933"/>
      <c r="I823" s="1933"/>
      <c r="J823" s="1933"/>
      <c r="K823" s="1933"/>
      <c r="L823" s="1933"/>
      <c r="M823" s="1933"/>
      <c r="N823" s="1933"/>
      <c r="O823" s="1933"/>
      <c r="P823" s="1933"/>
      <c r="Q823" s="1933"/>
      <c r="R823" s="1933"/>
      <c r="S823" s="1933"/>
      <c r="T823" s="1933"/>
      <c r="U823" s="1933"/>
      <c r="V823" s="1933"/>
      <c r="W823" s="1933"/>
      <c r="X823" s="1933"/>
      <c r="Y823" s="1933"/>
      <c r="Z823" s="1933"/>
    </row>
    <row r="824" spans="1:26" ht="12" x14ac:dyDescent="0.2">
      <c r="A824" s="1933"/>
      <c r="B824" s="1933"/>
      <c r="C824" s="1933"/>
      <c r="D824" s="1933"/>
      <c r="E824" s="1933"/>
      <c r="F824" s="1933"/>
      <c r="G824" s="1934"/>
      <c r="H824" s="1933"/>
      <c r="I824" s="1933"/>
      <c r="J824" s="1933"/>
      <c r="K824" s="1933"/>
      <c r="L824" s="1933"/>
      <c r="M824" s="1933"/>
      <c r="N824" s="1933"/>
      <c r="O824" s="1933"/>
      <c r="P824" s="1933"/>
      <c r="Q824" s="1933"/>
      <c r="R824" s="1933"/>
      <c r="S824" s="1933"/>
      <c r="T824" s="1933"/>
      <c r="U824" s="1933"/>
      <c r="V824" s="1933"/>
      <c r="W824" s="1933"/>
      <c r="X824" s="1933"/>
      <c r="Y824" s="1933"/>
      <c r="Z824" s="1933"/>
    </row>
    <row r="825" spans="1:26" ht="12" x14ac:dyDescent="0.2">
      <c r="A825" s="1933"/>
      <c r="B825" s="1933"/>
      <c r="C825" s="1933"/>
      <c r="D825" s="1933"/>
      <c r="E825" s="1933"/>
      <c r="F825" s="1933"/>
      <c r="G825" s="1934"/>
      <c r="H825" s="1933"/>
      <c r="I825" s="1933"/>
      <c r="J825" s="1933"/>
      <c r="K825" s="1933"/>
      <c r="L825" s="1933"/>
      <c r="M825" s="1933"/>
      <c r="N825" s="1933"/>
      <c r="O825" s="1933"/>
      <c r="P825" s="1933"/>
      <c r="Q825" s="1933"/>
      <c r="R825" s="1933"/>
      <c r="S825" s="1933"/>
      <c r="T825" s="1933"/>
      <c r="U825" s="1933"/>
      <c r="V825" s="1933"/>
      <c r="W825" s="1933"/>
      <c r="X825" s="1933"/>
      <c r="Y825" s="1933"/>
      <c r="Z825" s="1933"/>
    </row>
    <row r="826" spans="1:26" ht="12" x14ac:dyDescent="0.2">
      <c r="A826" s="1933"/>
      <c r="B826" s="1933"/>
      <c r="C826" s="1933"/>
      <c r="D826" s="1933"/>
      <c r="E826" s="1933"/>
      <c r="F826" s="1933"/>
      <c r="G826" s="1934"/>
      <c r="H826" s="1933"/>
      <c r="I826" s="1933"/>
      <c r="J826" s="1933"/>
      <c r="K826" s="1933"/>
      <c r="L826" s="1933"/>
      <c r="M826" s="1933"/>
      <c r="N826" s="1933"/>
      <c r="O826" s="1933"/>
      <c r="P826" s="1933"/>
      <c r="Q826" s="1933"/>
      <c r="R826" s="1933"/>
      <c r="S826" s="1933"/>
      <c r="T826" s="1933"/>
      <c r="U826" s="1933"/>
      <c r="V826" s="1933"/>
      <c r="W826" s="1933"/>
      <c r="X826" s="1933"/>
      <c r="Y826" s="1933"/>
      <c r="Z826" s="1933"/>
    </row>
    <row r="827" spans="1:26" ht="12" x14ac:dyDescent="0.2">
      <c r="A827" s="1933"/>
      <c r="B827" s="1933"/>
      <c r="C827" s="1933"/>
      <c r="D827" s="1933"/>
      <c r="E827" s="1933"/>
      <c r="F827" s="1933"/>
      <c r="G827" s="1934"/>
      <c r="H827" s="1933"/>
      <c r="I827" s="1933"/>
      <c r="J827" s="1933"/>
      <c r="K827" s="1933"/>
      <c r="L827" s="1933"/>
      <c r="M827" s="1933"/>
      <c r="N827" s="1933"/>
      <c r="O827" s="1933"/>
      <c r="P827" s="1933"/>
      <c r="Q827" s="1933"/>
      <c r="R827" s="1933"/>
      <c r="S827" s="1933"/>
      <c r="T827" s="1933"/>
      <c r="U827" s="1933"/>
      <c r="V827" s="1933"/>
      <c r="W827" s="1933"/>
      <c r="X827" s="1933"/>
      <c r="Y827" s="1933"/>
      <c r="Z827" s="1933"/>
    </row>
    <row r="828" spans="1:26" ht="12" x14ac:dyDescent="0.2">
      <c r="A828" s="1933"/>
      <c r="B828" s="1933"/>
      <c r="C828" s="1933"/>
      <c r="D828" s="1933"/>
      <c r="E828" s="1933"/>
      <c r="F828" s="1933"/>
      <c r="G828" s="1934"/>
      <c r="H828" s="1933"/>
      <c r="I828" s="1933"/>
      <c r="J828" s="1933"/>
      <c r="K828" s="1933"/>
      <c r="L828" s="1933"/>
      <c r="M828" s="1933"/>
      <c r="N828" s="1933"/>
      <c r="O828" s="1933"/>
      <c r="P828" s="1933"/>
      <c r="Q828" s="1933"/>
      <c r="R828" s="1933"/>
      <c r="S828" s="1933"/>
      <c r="T828" s="1933"/>
      <c r="U828" s="1933"/>
      <c r="V828" s="1933"/>
      <c r="W828" s="1933"/>
      <c r="X828" s="1933"/>
      <c r="Y828" s="1933"/>
      <c r="Z828" s="1933"/>
    </row>
    <row r="829" spans="1:26" ht="12" x14ac:dyDescent="0.2">
      <c r="A829" s="1933"/>
      <c r="B829" s="1933"/>
      <c r="C829" s="1933"/>
      <c r="D829" s="1933"/>
      <c r="E829" s="1933"/>
      <c r="F829" s="1933"/>
      <c r="G829" s="1934"/>
      <c r="H829" s="1933"/>
      <c r="I829" s="1933"/>
      <c r="J829" s="1933"/>
      <c r="K829" s="1933"/>
      <c r="L829" s="1933"/>
      <c r="M829" s="1933"/>
      <c r="N829" s="1933"/>
      <c r="O829" s="1933"/>
      <c r="P829" s="1933"/>
      <c r="Q829" s="1933"/>
      <c r="R829" s="1933"/>
      <c r="S829" s="1933"/>
      <c r="T829" s="1933"/>
      <c r="U829" s="1933"/>
      <c r="V829" s="1933"/>
      <c r="W829" s="1933"/>
      <c r="X829" s="1933"/>
      <c r="Y829" s="1933"/>
      <c r="Z829" s="1933"/>
    </row>
    <row r="830" spans="1:26" ht="12" x14ac:dyDescent="0.2">
      <c r="A830" s="1933"/>
      <c r="B830" s="1933"/>
      <c r="C830" s="1933"/>
      <c r="D830" s="1933"/>
      <c r="E830" s="1933"/>
      <c r="F830" s="1933"/>
      <c r="G830" s="1934"/>
      <c r="H830" s="1933"/>
      <c r="I830" s="1933"/>
      <c r="J830" s="1933"/>
      <c r="K830" s="1933"/>
      <c r="L830" s="1933"/>
      <c r="M830" s="1933"/>
      <c r="N830" s="1933"/>
      <c r="O830" s="1933"/>
      <c r="P830" s="1933"/>
      <c r="Q830" s="1933"/>
      <c r="R830" s="1933"/>
      <c r="S830" s="1933"/>
      <c r="T830" s="1933"/>
      <c r="U830" s="1933"/>
      <c r="V830" s="1933"/>
      <c r="W830" s="1933"/>
      <c r="X830" s="1933"/>
      <c r="Y830" s="1933"/>
      <c r="Z830" s="1933"/>
    </row>
    <row r="831" spans="1:26" ht="12" x14ac:dyDescent="0.2">
      <c r="A831" s="1933"/>
      <c r="B831" s="1933"/>
      <c r="C831" s="1933"/>
      <c r="D831" s="1933"/>
      <c r="E831" s="1933"/>
      <c r="F831" s="1933"/>
      <c r="G831" s="1934"/>
      <c r="H831" s="1933"/>
      <c r="I831" s="1933"/>
      <c r="J831" s="1933"/>
      <c r="K831" s="1933"/>
      <c r="L831" s="1933"/>
      <c r="M831" s="1933"/>
      <c r="N831" s="1933"/>
      <c r="O831" s="1933"/>
      <c r="P831" s="1933"/>
      <c r="Q831" s="1933"/>
      <c r="R831" s="1933"/>
      <c r="S831" s="1933"/>
      <c r="T831" s="1933"/>
      <c r="U831" s="1933"/>
      <c r="V831" s="1933"/>
      <c r="W831" s="1933"/>
      <c r="X831" s="1933"/>
      <c r="Y831" s="1933"/>
      <c r="Z831" s="1933"/>
    </row>
    <row r="832" spans="1:26" ht="12" x14ac:dyDescent="0.2">
      <c r="A832" s="1933"/>
      <c r="B832" s="1933"/>
      <c r="C832" s="1933"/>
      <c r="D832" s="1933"/>
      <c r="E832" s="1933"/>
      <c r="F832" s="1933"/>
      <c r="G832" s="1934"/>
      <c r="H832" s="1933"/>
      <c r="I832" s="1933"/>
      <c r="J832" s="1933"/>
      <c r="K832" s="1933"/>
      <c r="L832" s="1933"/>
      <c r="M832" s="1933"/>
      <c r="N832" s="1933"/>
      <c r="O832" s="1933"/>
      <c r="P832" s="1933"/>
      <c r="Q832" s="1933"/>
      <c r="R832" s="1933"/>
      <c r="S832" s="1933"/>
      <c r="T832" s="1933"/>
      <c r="U832" s="1933"/>
      <c r="V832" s="1933"/>
      <c r="W832" s="1933"/>
      <c r="X832" s="1933"/>
      <c r="Y832" s="1933"/>
      <c r="Z832" s="1933"/>
    </row>
    <row r="833" spans="1:26" ht="12" x14ac:dyDescent="0.2">
      <c r="A833" s="1933"/>
      <c r="B833" s="1933"/>
      <c r="C833" s="1933"/>
      <c r="D833" s="1933"/>
      <c r="E833" s="1933"/>
      <c r="F833" s="1933"/>
      <c r="G833" s="1934"/>
      <c r="H833" s="1933"/>
      <c r="I833" s="1933"/>
      <c r="J833" s="1933"/>
      <c r="K833" s="1933"/>
      <c r="L833" s="1933"/>
      <c r="M833" s="1933"/>
      <c r="N833" s="1933"/>
      <c r="O833" s="1933"/>
      <c r="P833" s="1933"/>
      <c r="Q833" s="1933"/>
      <c r="R833" s="1933"/>
      <c r="S833" s="1933"/>
      <c r="T833" s="1933"/>
      <c r="U833" s="1933"/>
      <c r="V833" s="1933"/>
      <c r="W833" s="1933"/>
      <c r="X833" s="1933"/>
      <c r="Y833" s="1933"/>
      <c r="Z833" s="1933"/>
    </row>
    <row r="834" spans="1:26" ht="12" x14ac:dyDescent="0.2">
      <c r="A834" s="1933"/>
      <c r="B834" s="1933"/>
      <c r="C834" s="1933"/>
      <c r="D834" s="1933"/>
      <c r="E834" s="1933"/>
      <c r="F834" s="1933"/>
      <c r="G834" s="1934"/>
      <c r="H834" s="1933"/>
      <c r="I834" s="1933"/>
      <c r="J834" s="1933"/>
      <c r="K834" s="1933"/>
      <c r="L834" s="1933"/>
      <c r="M834" s="1933"/>
      <c r="N834" s="1933"/>
      <c r="O834" s="1933"/>
      <c r="P834" s="1933"/>
      <c r="Q834" s="1933"/>
      <c r="R834" s="1933"/>
      <c r="S834" s="1933"/>
      <c r="T834" s="1933"/>
      <c r="U834" s="1933"/>
      <c r="V834" s="1933"/>
      <c r="W834" s="1933"/>
      <c r="X834" s="1933"/>
      <c r="Y834" s="1933"/>
      <c r="Z834" s="1933"/>
    </row>
    <row r="835" spans="1:26" ht="12" x14ac:dyDescent="0.2">
      <c r="A835" s="1933"/>
      <c r="B835" s="1933"/>
      <c r="C835" s="1933"/>
      <c r="D835" s="1933"/>
      <c r="E835" s="1933"/>
      <c r="F835" s="1933"/>
      <c r="G835" s="1934"/>
      <c r="H835" s="1933"/>
      <c r="I835" s="1933"/>
      <c r="J835" s="1933"/>
      <c r="K835" s="1933"/>
      <c r="L835" s="1933"/>
      <c r="M835" s="1933"/>
      <c r="N835" s="1933"/>
      <c r="O835" s="1933"/>
      <c r="P835" s="1933"/>
      <c r="Q835" s="1933"/>
      <c r="R835" s="1933"/>
      <c r="S835" s="1933"/>
      <c r="T835" s="1933"/>
      <c r="U835" s="1933"/>
      <c r="V835" s="1933"/>
      <c r="W835" s="1933"/>
      <c r="X835" s="1933"/>
      <c r="Y835" s="1933"/>
      <c r="Z835" s="1933"/>
    </row>
    <row r="836" spans="1:26" ht="12" x14ac:dyDescent="0.2">
      <c r="A836" s="1933"/>
      <c r="B836" s="1933"/>
      <c r="C836" s="1933"/>
      <c r="D836" s="1933"/>
      <c r="E836" s="1933"/>
      <c r="F836" s="1933"/>
      <c r="G836" s="1934"/>
      <c r="H836" s="1933"/>
      <c r="I836" s="1933"/>
      <c r="J836" s="1933"/>
      <c r="K836" s="1933"/>
      <c r="L836" s="1933"/>
      <c r="M836" s="1933"/>
      <c r="N836" s="1933"/>
      <c r="O836" s="1933"/>
      <c r="P836" s="1933"/>
      <c r="Q836" s="1933"/>
      <c r="R836" s="1933"/>
      <c r="S836" s="1933"/>
      <c r="T836" s="1933"/>
      <c r="U836" s="1933"/>
      <c r="V836" s="1933"/>
      <c r="W836" s="1933"/>
      <c r="X836" s="1933"/>
      <c r="Y836" s="1933"/>
      <c r="Z836" s="1933"/>
    </row>
    <row r="837" spans="1:26" ht="12" x14ac:dyDescent="0.2">
      <c r="A837" s="1933"/>
      <c r="B837" s="1933"/>
      <c r="C837" s="1933"/>
      <c r="D837" s="1933"/>
      <c r="E837" s="1933"/>
      <c r="F837" s="1933"/>
      <c r="G837" s="1934"/>
      <c r="H837" s="1933"/>
      <c r="I837" s="1933"/>
      <c r="J837" s="1933"/>
      <c r="K837" s="1933"/>
      <c r="L837" s="1933"/>
      <c r="M837" s="1933"/>
      <c r="N837" s="1933"/>
      <c r="O837" s="1933"/>
      <c r="P837" s="1933"/>
      <c r="Q837" s="1933"/>
      <c r="R837" s="1933"/>
      <c r="S837" s="1933"/>
      <c r="T837" s="1933"/>
      <c r="U837" s="1933"/>
      <c r="V837" s="1933"/>
      <c r="W837" s="1933"/>
      <c r="X837" s="1933"/>
      <c r="Y837" s="1933"/>
      <c r="Z837" s="1933"/>
    </row>
    <row r="838" spans="1:26" ht="12" x14ac:dyDescent="0.2">
      <c r="A838" s="1933"/>
      <c r="B838" s="1933"/>
      <c r="C838" s="1933"/>
      <c r="D838" s="1933"/>
      <c r="E838" s="1933"/>
      <c r="F838" s="1933"/>
      <c r="G838" s="1934"/>
      <c r="H838" s="1933"/>
      <c r="I838" s="1933"/>
      <c r="J838" s="1933"/>
      <c r="K838" s="1933"/>
      <c r="L838" s="1933"/>
      <c r="M838" s="1933"/>
      <c r="N838" s="1933"/>
      <c r="O838" s="1933"/>
      <c r="P838" s="1933"/>
      <c r="Q838" s="1933"/>
      <c r="R838" s="1933"/>
      <c r="S838" s="1933"/>
      <c r="T838" s="1933"/>
      <c r="U838" s="1933"/>
      <c r="V838" s="1933"/>
      <c r="W838" s="1933"/>
      <c r="X838" s="1933"/>
      <c r="Y838" s="1933"/>
      <c r="Z838" s="1933"/>
    </row>
    <row r="839" spans="1:26" ht="12" x14ac:dyDescent="0.2">
      <c r="A839" s="1933"/>
      <c r="B839" s="1933"/>
      <c r="C839" s="1933"/>
      <c r="D839" s="1933"/>
      <c r="E839" s="1933"/>
      <c r="F839" s="1933"/>
      <c r="G839" s="1934"/>
      <c r="H839" s="1933"/>
      <c r="I839" s="1933"/>
      <c r="J839" s="1933"/>
      <c r="K839" s="1933"/>
      <c r="L839" s="1933"/>
      <c r="M839" s="1933"/>
      <c r="N839" s="1933"/>
      <c r="O839" s="1933"/>
      <c r="P839" s="1933"/>
      <c r="Q839" s="1933"/>
      <c r="R839" s="1933"/>
      <c r="S839" s="1933"/>
      <c r="T839" s="1933"/>
      <c r="U839" s="1933"/>
      <c r="V839" s="1933"/>
      <c r="W839" s="1933"/>
      <c r="X839" s="1933"/>
      <c r="Y839" s="1933"/>
      <c r="Z839" s="1933"/>
    </row>
    <row r="840" spans="1:26" ht="12" x14ac:dyDescent="0.2">
      <c r="A840" s="1933"/>
      <c r="B840" s="1933"/>
      <c r="C840" s="1933"/>
      <c r="D840" s="1933"/>
      <c r="E840" s="1933"/>
      <c r="F840" s="1933"/>
      <c r="G840" s="1934"/>
      <c r="H840" s="1933"/>
      <c r="I840" s="1933"/>
      <c r="J840" s="1933"/>
      <c r="K840" s="1933"/>
      <c r="L840" s="1933"/>
      <c r="M840" s="1933"/>
      <c r="N840" s="1933"/>
      <c r="O840" s="1933"/>
      <c r="P840" s="1933"/>
      <c r="Q840" s="1933"/>
      <c r="R840" s="1933"/>
      <c r="S840" s="1933"/>
      <c r="T840" s="1933"/>
      <c r="U840" s="1933"/>
      <c r="V840" s="1933"/>
      <c r="W840" s="1933"/>
      <c r="X840" s="1933"/>
      <c r="Y840" s="1933"/>
      <c r="Z840" s="1933"/>
    </row>
    <row r="841" spans="1:26" ht="12" x14ac:dyDescent="0.2">
      <c r="A841" s="1933"/>
      <c r="B841" s="1933"/>
      <c r="C841" s="1933"/>
      <c r="D841" s="1933"/>
      <c r="E841" s="1933"/>
      <c r="F841" s="1933"/>
      <c r="G841" s="1934"/>
      <c r="H841" s="1933"/>
      <c r="I841" s="1933"/>
      <c r="J841" s="1933"/>
      <c r="K841" s="1933"/>
      <c r="L841" s="1933"/>
      <c r="M841" s="1933"/>
      <c r="N841" s="1933"/>
      <c r="O841" s="1933"/>
      <c r="P841" s="1933"/>
      <c r="Q841" s="1933"/>
      <c r="R841" s="1933"/>
      <c r="S841" s="1933"/>
      <c r="T841" s="1933"/>
      <c r="U841" s="1933"/>
      <c r="V841" s="1933"/>
      <c r="W841" s="1933"/>
      <c r="X841" s="1933"/>
      <c r="Y841" s="1933"/>
      <c r="Z841" s="1933"/>
    </row>
    <row r="842" spans="1:26" ht="12" x14ac:dyDescent="0.2">
      <c r="A842" s="1933"/>
      <c r="B842" s="1933"/>
      <c r="C842" s="1933"/>
      <c r="D842" s="1933"/>
      <c r="E842" s="1933"/>
      <c r="F842" s="1933"/>
      <c r="G842" s="1934"/>
      <c r="H842" s="1933"/>
      <c r="I842" s="1933"/>
      <c r="J842" s="1933"/>
      <c r="K842" s="1933"/>
      <c r="L842" s="1933"/>
      <c r="M842" s="1933"/>
      <c r="N842" s="1933"/>
      <c r="O842" s="1933"/>
      <c r="P842" s="1933"/>
      <c r="Q842" s="1933"/>
      <c r="R842" s="1933"/>
      <c r="S842" s="1933"/>
      <c r="T842" s="1933"/>
      <c r="U842" s="1933"/>
      <c r="V842" s="1933"/>
      <c r="W842" s="1933"/>
      <c r="X842" s="1933"/>
      <c r="Y842" s="1933"/>
      <c r="Z842" s="1933"/>
    </row>
    <row r="843" spans="1:26" ht="12" x14ac:dyDescent="0.2">
      <c r="A843" s="1933"/>
      <c r="B843" s="1933"/>
      <c r="C843" s="1933"/>
      <c r="D843" s="1933"/>
      <c r="E843" s="1933"/>
      <c r="F843" s="1933"/>
      <c r="G843" s="1934"/>
      <c r="H843" s="1933"/>
      <c r="I843" s="1933"/>
      <c r="J843" s="1933"/>
      <c r="K843" s="1933"/>
      <c r="L843" s="1933"/>
      <c r="M843" s="1933"/>
      <c r="N843" s="1933"/>
      <c r="O843" s="1933"/>
      <c r="P843" s="1933"/>
      <c r="Q843" s="1933"/>
      <c r="R843" s="1933"/>
      <c r="S843" s="1933"/>
      <c r="T843" s="1933"/>
      <c r="U843" s="1933"/>
      <c r="V843" s="1933"/>
      <c r="W843" s="1933"/>
      <c r="X843" s="1933"/>
      <c r="Y843" s="1933"/>
      <c r="Z843" s="1933"/>
    </row>
    <row r="844" spans="1:26" ht="12" x14ac:dyDescent="0.2">
      <c r="A844" s="1933"/>
      <c r="B844" s="1933"/>
      <c r="C844" s="1933"/>
      <c r="D844" s="1933"/>
      <c r="E844" s="1933"/>
      <c r="F844" s="1933"/>
      <c r="G844" s="1934"/>
      <c r="H844" s="1933"/>
      <c r="I844" s="1933"/>
      <c r="J844" s="1933"/>
      <c r="K844" s="1933"/>
      <c r="L844" s="1933"/>
      <c r="M844" s="1933"/>
      <c r="N844" s="1933"/>
      <c r="O844" s="1933"/>
      <c r="P844" s="1933"/>
      <c r="Q844" s="1933"/>
      <c r="R844" s="1933"/>
      <c r="S844" s="1933"/>
      <c r="T844" s="1933"/>
      <c r="U844" s="1933"/>
      <c r="V844" s="1933"/>
      <c r="W844" s="1933"/>
      <c r="X844" s="1933"/>
      <c r="Y844" s="1933"/>
      <c r="Z844" s="1933"/>
    </row>
    <row r="845" spans="1:26" ht="12" x14ac:dyDescent="0.2">
      <c r="A845" s="1933"/>
      <c r="B845" s="1933"/>
      <c r="C845" s="1933"/>
      <c r="D845" s="1933"/>
      <c r="E845" s="1933"/>
      <c r="F845" s="1933"/>
      <c r="G845" s="1934"/>
      <c r="H845" s="1933"/>
      <c r="I845" s="1933"/>
      <c r="J845" s="1933"/>
      <c r="K845" s="1933"/>
      <c r="L845" s="1933"/>
      <c r="M845" s="1933"/>
      <c r="N845" s="1933"/>
      <c r="O845" s="1933"/>
      <c r="P845" s="1933"/>
      <c r="Q845" s="1933"/>
      <c r="R845" s="1933"/>
      <c r="S845" s="1933"/>
      <c r="T845" s="1933"/>
      <c r="U845" s="1933"/>
      <c r="V845" s="1933"/>
      <c r="W845" s="1933"/>
      <c r="X845" s="1933"/>
      <c r="Y845" s="1933"/>
      <c r="Z845" s="1933"/>
    </row>
    <row r="846" spans="1:26" ht="12" x14ac:dyDescent="0.2">
      <c r="A846" s="1933"/>
      <c r="B846" s="1933"/>
      <c r="C846" s="1933"/>
      <c r="D846" s="1933"/>
      <c r="E846" s="1933"/>
      <c r="F846" s="1933"/>
      <c r="G846" s="1934"/>
      <c r="H846" s="1933"/>
      <c r="I846" s="1933"/>
      <c r="J846" s="1933"/>
      <c r="K846" s="1933"/>
      <c r="L846" s="1933"/>
      <c r="M846" s="1933"/>
      <c r="N846" s="1933"/>
      <c r="O846" s="1933"/>
      <c r="P846" s="1933"/>
      <c r="Q846" s="1933"/>
      <c r="R846" s="1933"/>
      <c r="S846" s="1933"/>
      <c r="T846" s="1933"/>
      <c r="U846" s="1933"/>
      <c r="V846" s="1933"/>
      <c r="W846" s="1933"/>
      <c r="X846" s="1933"/>
      <c r="Y846" s="1933"/>
      <c r="Z846" s="1933"/>
    </row>
    <row r="847" spans="1:26" ht="12" x14ac:dyDescent="0.2">
      <c r="A847" s="1933"/>
      <c r="B847" s="1933"/>
      <c r="C847" s="1933"/>
      <c r="D847" s="1933"/>
      <c r="E847" s="1933"/>
      <c r="F847" s="1933"/>
      <c r="G847" s="1934"/>
      <c r="H847" s="1933"/>
      <c r="I847" s="1933"/>
      <c r="J847" s="1933"/>
      <c r="K847" s="1933"/>
      <c r="L847" s="1933"/>
      <c r="M847" s="1933"/>
      <c r="N847" s="1933"/>
      <c r="O847" s="1933"/>
      <c r="P847" s="1933"/>
      <c r="Q847" s="1933"/>
      <c r="R847" s="1933"/>
      <c r="S847" s="1933"/>
      <c r="T847" s="1933"/>
      <c r="U847" s="1933"/>
      <c r="V847" s="1933"/>
      <c r="W847" s="1933"/>
      <c r="X847" s="1933"/>
      <c r="Y847" s="1933"/>
      <c r="Z847" s="1933"/>
    </row>
    <row r="848" spans="1:26" ht="12" x14ac:dyDescent="0.2">
      <c r="A848" s="1933"/>
      <c r="B848" s="1933"/>
      <c r="C848" s="1933"/>
      <c r="D848" s="1933"/>
      <c r="E848" s="1933"/>
      <c r="F848" s="1933"/>
      <c r="G848" s="1934"/>
      <c r="H848" s="1933"/>
      <c r="I848" s="1933"/>
      <c r="J848" s="1933"/>
      <c r="K848" s="1933"/>
      <c r="L848" s="1933"/>
      <c r="M848" s="1933"/>
      <c r="N848" s="1933"/>
      <c r="O848" s="1933"/>
      <c r="P848" s="1933"/>
      <c r="Q848" s="1933"/>
      <c r="R848" s="1933"/>
      <c r="S848" s="1933"/>
      <c r="T848" s="1933"/>
      <c r="U848" s="1933"/>
      <c r="V848" s="1933"/>
      <c r="W848" s="1933"/>
      <c r="X848" s="1933"/>
      <c r="Y848" s="1933"/>
      <c r="Z848" s="1933"/>
    </row>
    <row r="849" spans="1:26" ht="12" x14ac:dyDescent="0.2">
      <c r="A849" s="1933"/>
      <c r="B849" s="1933"/>
      <c r="C849" s="1933"/>
      <c r="D849" s="1933"/>
      <c r="E849" s="1933"/>
      <c r="F849" s="1933"/>
      <c r="G849" s="1934"/>
      <c r="H849" s="1933"/>
      <c r="I849" s="1933"/>
      <c r="J849" s="1933"/>
      <c r="K849" s="1933"/>
      <c r="L849" s="1933"/>
      <c r="M849" s="1933"/>
      <c r="N849" s="1933"/>
      <c r="O849" s="1933"/>
      <c r="P849" s="1933"/>
      <c r="Q849" s="1933"/>
      <c r="R849" s="1933"/>
      <c r="S849" s="1933"/>
      <c r="T849" s="1933"/>
      <c r="U849" s="1933"/>
      <c r="V849" s="1933"/>
      <c r="W849" s="1933"/>
      <c r="X849" s="1933"/>
      <c r="Y849" s="1933"/>
      <c r="Z849" s="1933"/>
    </row>
    <row r="850" spans="1:26" ht="12" x14ac:dyDescent="0.2">
      <c r="A850" s="1933"/>
      <c r="B850" s="1933"/>
      <c r="C850" s="1933"/>
      <c r="D850" s="1933"/>
      <c r="E850" s="1933"/>
      <c r="F850" s="1933"/>
      <c r="G850" s="1934"/>
      <c r="H850" s="1933"/>
      <c r="I850" s="1933"/>
      <c r="J850" s="1933"/>
      <c r="K850" s="1933"/>
      <c r="L850" s="1933"/>
      <c r="M850" s="1933"/>
      <c r="N850" s="1933"/>
      <c r="O850" s="1933"/>
      <c r="P850" s="1933"/>
      <c r="Q850" s="1933"/>
      <c r="R850" s="1933"/>
      <c r="S850" s="1933"/>
      <c r="T850" s="1933"/>
      <c r="U850" s="1933"/>
      <c r="V850" s="1933"/>
      <c r="W850" s="1933"/>
      <c r="X850" s="1933"/>
      <c r="Y850" s="1933"/>
      <c r="Z850" s="1933"/>
    </row>
    <row r="851" spans="1:26" ht="12" x14ac:dyDescent="0.2">
      <c r="A851" s="1933"/>
      <c r="B851" s="1933"/>
      <c r="C851" s="1933"/>
      <c r="D851" s="1933"/>
      <c r="E851" s="1933"/>
      <c r="F851" s="1933"/>
      <c r="G851" s="1934"/>
      <c r="H851" s="1933"/>
      <c r="I851" s="1933"/>
      <c r="J851" s="1933"/>
      <c r="K851" s="1933"/>
      <c r="L851" s="1933"/>
      <c r="M851" s="1933"/>
      <c r="N851" s="1933"/>
      <c r="O851" s="1933"/>
      <c r="P851" s="1933"/>
      <c r="Q851" s="1933"/>
      <c r="R851" s="1933"/>
      <c r="S851" s="1933"/>
      <c r="T851" s="1933"/>
      <c r="U851" s="1933"/>
      <c r="V851" s="1933"/>
      <c r="W851" s="1933"/>
      <c r="X851" s="1933"/>
      <c r="Y851" s="1933"/>
      <c r="Z851" s="1933"/>
    </row>
    <row r="852" spans="1:26" ht="12" x14ac:dyDescent="0.2">
      <c r="A852" s="1933"/>
      <c r="B852" s="1933"/>
      <c r="C852" s="1933"/>
      <c r="D852" s="1933"/>
      <c r="E852" s="1933"/>
      <c r="F852" s="1933"/>
      <c r="G852" s="1934"/>
      <c r="H852" s="1933"/>
      <c r="I852" s="1933"/>
      <c r="J852" s="1933"/>
      <c r="K852" s="1933"/>
      <c r="L852" s="1933"/>
      <c r="M852" s="1933"/>
      <c r="N852" s="1933"/>
      <c r="O852" s="1933"/>
      <c r="P852" s="1933"/>
      <c r="Q852" s="1933"/>
      <c r="R852" s="1933"/>
      <c r="S852" s="1933"/>
      <c r="T852" s="1933"/>
      <c r="U852" s="1933"/>
      <c r="V852" s="1933"/>
      <c r="W852" s="1933"/>
      <c r="X852" s="1933"/>
      <c r="Y852" s="1933"/>
      <c r="Z852" s="1933"/>
    </row>
    <row r="853" spans="1:26" ht="12" x14ac:dyDescent="0.2">
      <c r="A853" s="1933"/>
      <c r="B853" s="1933"/>
      <c r="C853" s="1933"/>
      <c r="D853" s="1933"/>
      <c r="E853" s="1933"/>
      <c r="F853" s="1933"/>
      <c r="G853" s="1934"/>
      <c r="H853" s="1933"/>
      <c r="I853" s="1933"/>
      <c r="J853" s="1933"/>
      <c r="K853" s="1933"/>
      <c r="L853" s="1933"/>
      <c r="M853" s="1933"/>
      <c r="N853" s="1933"/>
      <c r="O853" s="1933"/>
      <c r="P853" s="1933"/>
      <c r="Q853" s="1933"/>
      <c r="R853" s="1933"/>
      <c r="S853" s="1933"/>
      <c r="T853" s="1933"/>
      <c r="U853" s="1933"/>
      <c r="V853" s="1933"/>
      <c r="W853" s="1933"/>
      <c r="X853" s="1933"/>
      <c r="Y853" s="1933"/>
      <c r="Z853" s="1933"/>
    </row>
    <row r="854" spans="1:26" ht="12" x14ac:dyDescent="0.2">
      <c r="A854" s="1933"/>
      <c r="B854" s="1933"/>
      <c r="C854" s="1933"/>
      <c r="D854" s="1933"/>
      <c r="E854" s="1933"/>
      <c r="F854" s="1933"/>
      <c r="G854" s="1934"/>
      <c r="H854" s="1933"/>
      <c r="I854" s="1933"/>
      <c r="J854" s="1933"/>
      <c r="K854" s="1933"/>
      <c r="L854" s="1933"/>
      <c r="M854" s="1933"/>
      <c r="N854" s="1933"/>
      <c r="O854" s="1933"/>
      <c r="P854" s="1933"/>
      <c r="Q854" s="1933"/>
      <c r="R854" s="1933"/>
      <c r="S854" s="1933"/>
      <c r="T854" s="1933"/>
      <c r="U854" s="1933"/>
      <c r="V854" s="1933"/>
      <c r="W854" s="1933"/>
      <c r="X854" s="1933"/>
      <c r="Y854" s="1933"/>
      <c r="Z854" s="1933"/>
    </row>
    <row r="855" spans="1:26" ht="12" x14ac:dyDescent="0.2">
      <c r="A855" s="1933"/>
      <c r="B855" s="1933"/>
      <c r="C855" s="1933"/>
      <c r="D855" s="1933"/>
      <c r="E855" s="1933"/>
      <c r="F855" s="1933"/>
      <c r="G855" s="1934"/>
      <c r="H855" s="1933"/>
      <c r="I855" s="1933"/>
      <c r="J855" s="1933"/>
      <c r="K855" s="1933"/>
      <c r="L855" s="1933"/>
      <c r="M855" s="1933"/>
      <c r="N855" s="1933"/>
      <c r="O855" s="1933"/>
      <c r="P855" s="1933"/>
      <c r="Q855" s="1933"/>
      <c r="R855" s="1933"/>
      <c r="S855" s="1933"/>
      <c r="T855" s="1933"/>
      <c r="U855" s="1933"/>
      <c r="V855" s="1933"/>
      <c r="W855" s="1933"/>
      <c r="X855" s="1933"/>
      <c r="Y855" s="1933"/>
      <c r="Z855" s="1933"/>
    </row>
    <row r="856" spans="1:26" ht="12" x14ac:dyDescent="0.2">
      <c r="A856" s="1933"/>
      <c r="B856" s="1933"/>
      <c r="C856" s="1933"/>
      <c r="D856" s="1933"/>
      <c r="E856" s="1933"/>
      <c r="F856" s="1933"/>
      <c r="G856" s="1934"/>
      <c r="H856" s="1933"/>
      <c r="I856" s="1933"/>
      <c r="J856" s="1933"/>
      <c r="K856" s="1933"/>
      <c r="L856" s="1933"/>
      <c r="M856" s="1933"/>
      <c r="N856" s="1933"/>
      <c r="O856" s="1933"/>
      <c r="P856" s="1933"/>
      <c r="Q856" s="1933"/>
      <c r="R856" s="1933"/>
      <c r="S856" s="1933"/>
      <c r="T856" s="1933"/>
      <c r="U856" s="1933"/>
      <c r="V856" s="1933"/>
      <c r="W856" s="1933"/>
      <c r="X856" s="1933"/>
      <c r="Y856" s="1933"/>
      <c r="Z856" s="1933"/>
    </row>
    <row r="857" spans="1:26" ht="12" x14ac:dyDescent="0.2">
      <c r="A857" s="1933"/>
      <c r="B857" s="1933"/>
      <c r="C857" s="1933"/>
      <c r="D857" s="1933"/>
      <c r="E857" s="1933"/>
      <c r="F857" s="1933"/>
      <c r="G857" s="1934"/>
      <c r="H857" s="1933"/>
      <c r="I857" s="1933"/>
      <c r="J857" s="1933"/>
      <c r="K857" s="1933"/>
      <c r="L857" s="1933"/>
      <c r="M857" s="1933"/>
      <c r="N857" s="1933"/>
      <c r="O857" s="1933"/>
      <c r="P857" s="1933"/>
      <c r="Q857" s="1933"/>
      <c r="R857" s="1933"/>
      <c r="S857" s="1933"/>
      <c r="T857" s="1933"/>
      <c r="U857" s="1933"/>
      <c r="V857" s="1933"/>
      <c r="W857" s="1933"/>
      <c r="X857" s="1933"/>
      <c r="Y857" s="1933"/>
      <c r="Z857" s="1933"/>
    </row>
    <row r="858" spans="1:26" ht="12" x14ac:dyDescent="0.2">
      <c r="A858" s="1933"/>
      <c r="B858" s="1933"/>
      <c r="C858" s="1933"/>
      <c r="D858" s="1933"/>
      <c r="E858" s="1933"/>
      <c r="F858" s="1933"/>
      <c r="G858" s="1934"/>
      <c r="H858" s="1933"/>
      <c r="I858" s="1933"/>
      <c r="J858" s="1933"/>
      <c r="K858" s="1933"/>
      <c r="L858" s="1933"/>
      <c r="M858" s="1933"/>
      <c r="N858" s="1933"/>
      <c r="O858" s="1933"/>
      <c r="P858" s="1933"/>
      <c r="Q858" s="1933"/>
      <c r="R858" s="1933"/>
      <c r="S858" s="1933"/>
      <c r="T858" s="1933"/>
      <c r="U858" s="1933"/>
      <c r="V858" s="1933"/>
      <c r="W858" s="1933"/>
      <c r="X858" s="1933"/>
      <c r="Y858" s="1933"/>
      <c r="Z858" s="1933"/>
    </row>
    <row r="859" spans="1:26" ht="12" x14ac:dyDescent="0.2">
      <c r="A859" s="1933"/>
      <c r="B859" s="1933"/>
      <c r="C859" s="1933"/>
      <c r="D859" s="1933"/>
      <c r="E859" s="1933"/>
      <c r="F859" s="1933"/>
      <c r="G859" s="1934"/>
      <c r="H859" s="1933"/>
      <c r="I859" s="1933"/>
      <c r="J859" s="1933"/>
      <c r="K859" s="1933"/>
      <c r="L859" s="1933"/>
      <c r="M859" s="1933"/>
      <c r="N859" s="1933"/>
      <c r="O859" s="1933"/>
      <c r="P859" s="1933"/>
      <c r="Q859" s="1933"/>
      <c r="R859" s="1933"/>
      <c r="S859" s="1933"/>
      <c r="T859" s="1933"/>
      <c r="U859" s="1933"/>
      <c r="V859" s="1933"/>
      <c r="W859" s="1933"/>
      <c r="X859" s="1933"/>
      <c r="Y859" s="1933"/>
      <c r="Z859" s="1933"/>
    </row>
    <row r="860" spans="1:26" ht="12" x14ac:dyDescent="0.2">
      <c r="A860" s="1933"/>
      <c r="B860" s="1933"/>
      <c r="C860" s="1933"/>
      <c r="D860" s="1933"/>
      <c r="E860" s="1933"/>
      <c r="F860" s="1933"/>
      <c r="G860" s="1934"/>
      <c r="H860" s="1933"/>
      <c r="I860" s="1933"/>
      <c r="J860" s="1933"/>
      <c r="K860" s="1933"/>
      <c r="L860" s="1933"/>
      <c r="M860" s="1933"/>
      <c r="N860" s="1933"/>
      <c r="O860" s="1933"/>
      <c r="P860" s="1933"/>
      <c r="Q860" s="1933"/>
      <c r="R860" s="1933"/>
      <c r="S860" s="1933"/>
      <c r="T860" s="1933"/>
      <c r="U860" s="1933"/>
      <c r="V860" s="1933"/>
      <c r="W860" s="1933"/>
      <c r="X860" s="1933"/>
      <c r="Y860" s="1933"/>
      <c r="Z860" s="1933"/>
    </row>
    <row r="861" spans="1:26" ht="12" x14ac:dyDescent="0.2">
      <c r="A861" s="1933"/>
      <c r="B861" s="1933"/>
      <c r="C861" s="1933"/>
      <c r="D861" s="1933"/>
      <c r="E861" s="1933"/>
      <c r="F861" s="1933"/>
      <c r="G861" s="1934"/>
      <c r="H861" s="1933"/>
      <c r="I861" s="1933"/>
      <c r="J861" s="1933"/>
      <c r="K861" s="1933"/>
      <c r="L861" s="1933"/>
      <c r="M861" s="1933"/>
      <c r="N861" s="1933"/>
      <c r="O861" s="1933"/>
      <c r="P861" s="1933"/>
      <c r="Q861" s="1933"/>
      <c r="R861" s="1933"/>
      <c r="S861" s="1933"/>
      <c r="T861" s="1933"/>
      <c r="U861" s="1933"/>
      <c r="V861" s="1933"/>
      <c r="W861" s="1933"/>
      <c r="X861" s="1933"/>
      <c r="Y861" s="1933"/>
      <c r="Z861" s="1933"/>
    </row>
    <row r="862" spans="1:26" ht="12" x14ac:dyDescent="0.2">
      <c r="A862" s="1933"/>
      <c r="B862" s="1933"/>
      <c r="C862" s="1933"/>
      <c r="D862" s="1933"/>
      <c r="E862" s="1933"/>
      <c r="F862" s="1933"/>
      <c r="G862" s="1934"/>
      <c r="H862" s="1933"/>
      <c r="I862" s="1933"/>
      <c r="J862" s="1933"/>
      <c r="K862" s="1933"/>
      <c r="L862" s="1933"/>
      <c r="M862" s="1933"/>
      <c r="N862" s="1933"/>
      <c r="O862" s="1933"/>
      <c r="P862" s="1933"/>
      <c r="Q862" s="1933"/>
      <c r="R862" s="1933"/>
      <c r="S862" s="1933"/>
      <c r="T862" s="1933"/>
      <c r="U862" s="1933"/>
      <c r="V862" s="1933"/>
      <c r="W862" s="1933"/>
      <c r="X862" s="1933"/>
      <c r="Y862" s="1933"/>
      <c r="Z862" s="1933"/>
    </row>
    <row r="863" spans="1:26" ht="12" x14ac:dyDescent="0.2">
      <c r="A863" s="1933"/>
      <c r="B863" s="1933"/>
      <c r="C863" s="1933"/>
      <c r="D863" s="1933"/>
      <c r="E863" s="1933"/>
      <c r="F863" s="1933"/>
      <c r="G863" s="1934"/>
      <c r="H863" s="1933"/>
      <c r="I863" s="1933"/>
      <c r="J863" s="1933"/>
      <c r="K863" s="1933"/>
      <c r="L863" s="1933"/>
      <c r="M863" s="1933"/>
      <c r="N863" s="1933"/>
      <c r="O863" s="1933"/>
      <c r="P863" s="1933"/>
      <c r="Q863" s="1933"/>
      <c r="R863" s="1933"/>
      <c r="S863" s="1933"/>
      <c r="T863" s="1933"/>
      <c r="U863" s="1933"/>
      <c r="V863" s="1933"/>
      <c r="W863" s="1933"/>
      <c r="X863" s="1933"/>
      <c r="Y863" s="1933"/>
      <c r="Z863" s="1933"/>
    </row>
    <row r="864" spans="1:26" ht="12" x14ac:dyDescent="0.2">
      <c r="A864" s="1933"/>
      <c r="B864" s="1933"/>
      <c r="C864" s="1933"/>
      <c r="D864" s="1933"/>
      <c r="E864" s="1933"/>
      <c r="F864" s="1933"/>
      <c r="G864" s="1934"/>
      <c r="H864" s="1933"/>
      <c r="I864" s="1933"/>
      <c r="J864" s="1933"/>
      <c r="K864" s="1933"/>
      <c r="L864" s="1933"/>
      <c r="M864" s="1933"/>
      <c r="N864" s="1933"/>
      <c r="O864" s="1933"/>
      <c r="P864" s="1933"/>
      <c r="Q864" s="1933"/>
      <c r="R864" s="1933"/>
      <c r="S864" s="1933"/>
      <c r="T864" s="1933"/>
      <c r="U864" s="1933"/>
      <c r="V864" s="1933"/>
      <c r="W864" s="1933"/>
      <c r="X864" s="1933"/>
      <c r="Y864" s="1933"/>
      <c r="Z864" s="1933"/>
    </row>
    <row r="865" spans="1:26" ht="12" x14ac:dyDescent="0.2">
      <c r="A865" s="1933"/>
      <c r="B865" s="1933"/>
      <c r="C865" s="1933"/>
      <c r="D865" s="1933"/>
      <c r="E865" s="1933"/>
      <c r="F865" s="1933"/>
      <c r="G865" s="1934"/>
      <c r="H865" s="1933"/>
      <c r="I865" s="1933"/>
      <c r="J865" s="1933"/>
      <c r="K865" s="1933"/>
      <c r="L865" s="1933"/>
      <c r="M865" s="1933"/>
      <c r="N865" s="1933"/>
      <c r="O865" s="1933"/>
      <c r="P865" s="1933"/>
      <c r="Q865" s="1933"/>
      <c r="R865" s="1933"/>
      <c r="S865" s="1933"/>
      <c r="T865" s="1933"/>
      <c r="U865" s="1933"/>
      <c r="V865" s="1933"/>
      <c r="W865" s="1933"/>
      <c r="X865" s="1933"/>
      <c r="Y865" s="1933"/>
      <c r="Z865" s="1933"/>
    </row>
    <row r="866" spans="1:26" ht="12" x14ac:dyDescent="0.2">
      <c r="A866" s="1933"/>
      <c r="B866" s="1933"/>
      <c r="C866" s="1933"/>
      <c r="D866" s="1933"/>
      <c r="E866" s="1933"/>
      <c r="F866" s="1933"/>
      <c r="G866" s="1934"/>
      <c r="H866" s="1933"/>
      <c r="I866" s="1933"/>
      <c r="J866" s="1933"/>
      <c r="K866" s="1933"/>
      <c r="L866" s="1933"/>
      <c r="M866" s="1933"/>
      <c r="N866" s="1933"/>
      <c r="O866" s="1933"/>
      <c r="P866" s="1933"/>
      <c r="Q866" s="1933"/>
      <c r="R866" s="1933"/>
      <c r="S866" s="1933"/>
      <c r="T866" s="1933"/>
      <c r="U866" s="1933"/>
      <c r="V866" s="1933"/>
      <c r="W866" s="1933"/>
      <c r="X866" s="1933"/>
      <c r="Y866" s="1933"/>
      <c r="Z866" s="1933"/>
    </row>
    <row r="867" spans="1:26" ht="12" x14ac:dyDescent="0.2">
      <c r="A867" s="1933"/>
      <c r="B867" s="1933"/>
      <c r="C867" s="1933"/>
      <c r="D867" s="1933"/>
      <c r="E867" s="1933"/>
      <c r="F867" s="1933"/>
      <c r="G867" s="1934"/>
      <c r="H867" s="1933"/>
      <c r="I867" s="1933"/>
      <c r="J867" s="1933"/>
      <c r="K867" s="1933"/>
      <c r="L867" s="1933"/>
      <c r="M867" s="1933"/>
      <c r="N867" s="1933"/>
      <c r="O867" s="1933"/>
      <c r="P867" s="1933"/>
      <c r="Q867" s="1933"/>
      <c r="R867" s="1933"/>
      <c r="S867" s="1933"/>
      <c r="T867" s="1933"/>
      <c r="U867" s="1933"/>
      <c r="V867" s="1933"/>
      <c r="W867" s="1933"/>
      <c r="X867" s="1933"/>
      <c r="Y867" s="1933"/>
      <c r="Z867" s="1933"/>
    </row>
    <row r="868" spans="1:26" ht="12" x14ac:dyDescent="0.2">
      <c r="A868" s="1933"/>
      <c r="B868" s="1933"/>
      <c r="C868" s="1933"/>
      <c r="D868" s="1933"/>
      <c r="E868" s="1933"/>
      <c r="F868" s="1933"/>
      <c r="G868" s="1934"/>
      <c r="H868" s="1933"/>
      <c r="I868" s="1933"/>
      <c r="J868" s="1933"/>
      <c r="K868" s="1933"/>
      <c r="L868" s="1933"/>
      <c r="M868" s="1933"/>
      <c r="N868" s="1933"/>
      <c r="O868" s="1933"/>
      <c r="P868" s="1933"/>
      <c r="Q868" s="1933"/>
      <c r="R868" s="1933"/>
      <c r="S868" s="1933"/>
      <c r="T868" s="1933"/>
      <c r="U868" s="1933"/>
      <c r="V868" s="1933"/>
      <c r="W868" s="1933"/>
      <c r="X868" s="1933"/>
      <c r="Y868" s="1933"/>
      <c r="Z868" s="1933"/>
    </row>
    <row r="869" spans="1:26" ht="12" x14ac:dyDescent="0.2">
      <c r="A869" s="1933"/>
      <c r="B869" s="1933"/>
      <c r="C869" s="1933"/>
      <c r="D869" s="1933"/>
      <c r="E869" s="1933"/>
      <c r="F869" s="1933"/>
      <c r="G869" s="1934"/>
      <c r="H869" s="1933"/>
      <c r="I869" s="1933"/>
      <c r="J869" s="1933"/>
      <c r="K869" s="1933"/>
      <c r="L869" s="1933"/>
      <c r="M869" s="1933"/>
      <c r="N869" s="1933"/>
      <c r="O869" s="1933"/>
      <c r="P869" s="1933"/>
      <c r="Q869" s="1933"/>
      <c r="R869" s="1933"/>
      <c r="S869" s="1933"/>
      <c r="T869" s="1933"/>
      <c r="U869" s="1933"/>
      <c r="V869" s="1933"/>
      <c r="W869" s="1933"/>
      <c r="X869" s="1933"/>
      <c r="Y869" s="1933"/>
      <c r="Z869" s="1933"/>
    </row>
    <row r="870" spans="1:26" ht="12" x14ac:dyDescent="0.2">
      <c r="A870" s="1933"/>
      <c r="B870" s="1933"/>
      <c r="C870" s="1933"/>
      <c r="D870" s="1933"/>
      <c r="E870" s="1933"/>
      <c r="F870" s="1933"/>
      <c r="G870" s="1934"/>
      <c r="H870" s="1933"/>
      <c r="I870" s="1933"/>
      <c r="J870" s="1933"/>
      <c r="K870" s="1933"/>
      <c r="L870" s="1933"/>
      <c r="M870" s="1933"/>
      <c r="N870" s="1933"/>
      <c r="O870" s="1933"/>
      <c r="P870" s="1933"/>
      <c r="Q870" s="1933"/>
      <c r="R870" s="1933"/>
      <c r="S870" s="1933"/>
      <c r="T870" s="1933"/>
      <c r="U870" s="1933"/>
      <c r="V870" s="1933"/>
      <c r="W870" s="1933"/>
      <c r="X870" s="1933"/>
      <c r="Y870" s="1933"/>
      <c r="Z870" s="1933"/>
    </row>
    <row r="871" spans="1:26" ht="12" x14ac:dyDescent="0.2">
      <c r="A871" s="1933"/>
      <c r="B871" s="1933"/>
      <c r="C871" s="1933"/>
      <c r="D871" s="1933"/>
      <c r="E871" s="1933"/>
      <c r="F871" s="1933"/>
      <c r="G871" s="1934"/>
      <c r="H871" s="1933"/>
      <c r="I871" s="1933"/>
      <c r="J871" s="1933"/>
      <c r="K871" s="1933"/>
      <c r="L871" s="1933"/>
      <c r="M871" s="1933"/>
      <c r="N871" s="1933"/>
      <c r="O871" s="1933"/>
      <c r="P871" s="1933"/>
      <c r="Q871" s="1933"/>
      <c r="R871" s="1933"/>
      <c r="S871" s="1933"/>
      <c r="T871" s="1933"/>
      <c r="U871" s="1933"/>
      <c r="V871" s="1933"/>
      <c r="W871" s="1933"/>
      <c r="X871" s="1933"/>
      <c r="Y871" s="1933"/>
      <c r="Z871" s="1933"/>
    </row>
    <row r="872" spans="1:26" ht="12" x14ac:dyDescent="0.2">
      <c r="A872" s="1933"/>
      <c r="B872" s="1933"/>
      <c r="C872" s="1933"/>
      <c r="D872" s="1933"/>
      <c r="E872" s="1933"/>
      <c r="F872" s="1933"/>
      <c r="G872" s="1934"/>
      <c r="H872" s="1933"/>
      <c r="I872" s="1933"/>
      <c r="J872" s="1933"/>
      <c r="K872" s="1933"/>
      <c r="L872" s="1933"/>
      <c r="M872" s="1933"/>
      <c r="N872" s="1933"/>
      <c r="O872" s="1933"/>
      <c r="P872" s="1933"/>
      <c r="Q872" s="1933"/>
      <c r="R872" s="1933"/>
      <c r="S872" s="1933"/>
      <c r="T872" s="1933"/>
      <c r="U872" s="1933"/>
      <c r="V872" s="1933"/>
      <c r="W872" s="1933"/>
      <c r="X872" s="1933"/>
      <c r="Y872" s="1933"/>
      <c r="Z872" s="1933"/>
    </row>
    <row r="873" spans="1:26" ht="12" x14ac:dyDescent="0.2">
      <c r="A873" s="1933"/>
      <c r="B873" s="1933"/>
      <c r="C873" s="1933"/>
      <c r="D873" s="1933"/>
      <c r="E873" s="1933"/>
      <c r="F873" s="1933"/>
      <c r="G873" s="1934"/>
      <c r="H873" s="1933"/>
      <c r="I873" s="1933"/>
      <c r="J873" s="1933"/>
      <c r="K873" s="1933"/>
      <c r="L873" s="1933"/>
      <c r="M873" s="1933"/>
      <c r="N873" s="1933"/>
      <c r="O873" s="1933"/>
      <c r="P873" s="1933"/>
      <c r="Q873" s="1933"/>
      <c r="R873" s="1933"/>
      <c r="S873" s="1933"/>
      <c r="T873" s="1933"/>
      <c r="U873" s="1933"/>
      <c r="V873" s="1933"/>
      <c r="W873" s="1933"/>
      <c r="X873" s="1933"/>
      <c r="Y873" s="1933"/>
      <c r="Z873" s="1933"/>
    </row>
    <row r="874" spans="1:26" ht="12" x14ac:dyDescent="0.2">
      <c r="A874" s="1933"/>
      <c r="B874" s="1933"/>
      <c r="C874" s="1933"/>
      <c r="D874" s="1933"/>
      <c r="E874" s="1933"/>
      <c r="F874" s="1933"/>
      <c r="G874" s="1934"/>
      <c r="H874" s="1933"/>
      <c r="I874" s="1933"/>
      <c r="J874" s="1933"/>
      <c r="K874" s="1933"/>
      <c r="L874" s="1933"/>
      <c r="M874" s="1933"/>
      <c r="N874" s="1933"/>
      <c r="O874" s="1933"/>
      <c r="P874" s="1933"/>
      <c r="Q874" s="1933"/>
      <c r="R874" s="1933"/>
      <c r="S874" s="1933"/>
      <c r="T874" s="1933"/>
      <c r="U874" s="1933"/>
      <c r="V874" s="1933"/>
      <c r="W874" s="1933"/>
      <c r="X874" s="1933"/>
      <c r="Y874" s="1933"/>
      <c r="Z874" s="1933"/>
    </row>
    <row r="875" spans="1:26" ht="12" x14ac:dyDescent="0.2">
      <c r="A875" s="1933"/>
      <c r="B875" s="1933"/>
      <c r="C875" s="1933"/>
      <c r="D875" s="1933"/>
      <c r="E875" s="1933"/>
      <c r="F875" s="1933"/>
      <c r="G875" s="1934"/>
      <c r="H875" s="1933"/>
      <c r="I875" s="1933"/>
      <c r="J875" s="1933"/>
      <c r="K875" s="1933"/>
      <c r="L875" s="1933"/>
      <c r="M875" s="1933"/>
      <c r="N875" s="1933"/>
      <c r="O875" s="1933"/>
      <c r="P875" s="1933"/>
      <c r="Q875" s="1933"/>
      <c r="R875" s="1933"/>
      <c r="S875" s="1933"/>
      <c r="T875" s="1933"/>
      <c r="U875" s="1933"/>
      <c r="V875" s="1933"/>
      <c r="W875" s="1933"/>
      <c r="X875" s="1933"/>
      <c r="Y875" s="1933"/>
      <c r="Z875" s="1933"/>
    </row>
    <row r="876" spans="1:26" ht="12" x14ac:dyDescent="0.2">
      <c r="A876" s="1933"/>
      <c r="B876" s="1933"/>
      <c r="C876" s="1933"/>
      <c r="D876" s="1933"/>
      <c r="E876" s="1933"/>
      <c r="F876" s="1933"/>
      <c r="G876" s="1934"/>
      <c r="H876" s="1933"/>
      <c r="I876" s="1933"/>
      <c r="J876" s="1933"/>
      <c r="K876" s="1933"/>
      <c r="L876" s="1933"/>
      <c r="M876" s="1933"/>
      <c r="N876" s="1933"/>
      <c r="O876" s="1933"/>
      <c r="P876" s="1933"/>
      <c r="Q876" s="1933"/>
      <c r="R876" s="1933"/>
      <c r="S876" s="1933"/>
      <c r="T876" s="1933"/>
      <c r="U876" s="1933"/>
      <c r="V876" s="1933"/>
      <c r="W876" s="1933"/>
      <c r="X876" s="1933"/>
      <c r="Y876" s="1933"/>
      <c r="Z876" s="1933"/>
    </row>
    <row r="877" spans="1:26" ht="12" x14ac:dyDescent="0.2">
      <c r="A877" s="1933"/>
      <c r="B877" s="1933"/>
      <c r="C877" s="1933"/>
      <c r="D877" s="1933"/>
      <c r="E877" s="1933"/>
      <c r="F877" s="1933"/>
      <c r="G877" s="1934"/>
      <c r="H877" s="1933"/>
      <c r="I877" s="1933"/>
      <c r="J877" s="1933"/>
      <c r="K877" s="1933"/>
      <c r="L877" s="1933"/>
      <c r="M877" s="1933"/>
      <c r="N877" s="1933"/>
      <c r="O877" s="1933"/>
      <c r="P877" s="1933"/>
      <c r="Q877" s="1933"/>
      <c r="R877" s="1933"/>
      <c r="S877" s="1933"/>
      <c r="T877" s="1933"/>
      <c r="U877" s="1933"/>
      <c r="V877" s="1933"/>
      <c r="W877" s="1933"/>
      <c r="X877" s="1933"/>
      <c r="Y877" s="1933"/>
      <c r="Z877" s="1933"/>
    </row>
    <row r="878" spans="1:26" ht="12" x14ac:dyDescent="0.2">
      <c r="A878" s="1933"/>
      <c r="B878" s="1933"/>
      <c r="C878" s="1933"/>
      <c r="D878" s="1933"/>
      <c r="E878" s="1933"/>
      <c r="F878" s="1933"/>
      <c r="G878" s="1934"/>
      <c r="H878" s="1933"/>
      <c r="I878" s="1933"/>
      <c r="J878" s="1933"/>
      <c r="K878" s="1933"/>
      <c r="L878" s="1933"/>
      <c r="M878" s="1933"/>
      <c r="N878" s="1933"/>
      <c r="O878" s="1933"/>
      <c r="P878" s="1933"/>
      <c r="Q878" s="1933"/>
      <c r="R878" s="1933"/>
      <c r="S878" s="1933"/>
      <c r="T878" s="1933"/>
      <c r="U878" s="1933"/>
      <c r="V878" s="1933"/>
      <c r="W878" s="1933"/>
      <c r="X878" s="1933"/>
      <c r="Y878" s="1933"/>
      <c r="Z878" s="1933"/>
    </row>
    <row r="879" spans="1:26" ht="12" x14ac:dyDescent="0.2">
      <c r="A879" s="1933"/>
      <c r="B879" s="1933"/>
      <c r="C879" s="1933"/>
      <c r="D879" s="1933"/>
      <c r="E879" s="1933"/>
      <c r="F879" s="1933"/>
      <c r="G879" s="1934"/>
      <c r="H879" s="1933"/>
      <c r="I879" s="1933"/>
      <c r="J879" s="1933"/>
      <c r="K879" s="1933"/>
      <c r="L879" s="1933"/>
      <c r="M879" s="1933"/>
      <c r="N879" s="1933"/>
      <c r="O879" s="1933"/>
      <c r="P879" s="1933"/>
      <c r="Q879" s="1933"/>
      <c r="R879" s="1933"/>
      <c r="S879" s="1933"/>
      <c r="T879" s="1933"/>
      <c r="U879" s="1933"/>
      <c r="V879" s="1933"/>
      <c r="W879" s="1933"/>
      <c r="X879" s="1933"/>
      <c r="Y879" s="1933"/>
      <c r="Z879" s="1933"/>
    </row>
    <row r="880" spans="1:26" ht="12" x14ac:dyDescent="0.2">
      <c r="A880" s="1933"/>
      <c r="B880" s="1933"/>
      <c r="C880" s="1933"/>
      <c r="D880" s="1933"/>
      <c r="E880" s="1933"/>
      <c r="F880" s="1933"/>
      <c r="G880" s="1934"/>
      <c r="H880" s="1933"/>
      <c r="I880" s="1933"/>
      <c r="J880" s="1933"/>
      <c r="K880" s="1933"/>
      <c r="L880" s="1933"/>
      <c r="M880" s="1933"/>
      <c r="N880" s="1933"/>
      <c r="O880" s="1933"/>
      <c r="P880" s="1933"/>
      <c r="Q880" s="1933"/>
      <c r="R880" s="1933"/>
      <c r="S880" s="1933"/>
      <c r="T880" s="1933"/>
      <c r="U880" s="1933"/>
      <c r="V880" s="1933"/>
      <c r="W880" s="1933"/>
      <c r="X880" s="1933"/>
      <c r="Y880" s="1933"/>
      <c r="Z880" s="1933"/>
    </row>
    <row r="881" spans="1:26" ht="12" x14ac:dyDescent="0.2">
      <c r="A881" s="1933"/>
      <c r="B881" s="1933"/>
      <c r="C881" s="1933"/>
      <c r="D881" s="1933"/>
      <c r="E881" s="1933"/>
      <c r="F881" s="1933"/>
      <c r="G881" s="1934"/>
      <c r="H881" s="1933"/>
      <c r="I881" s="1933"/>
      <c r="J881" s="1933"/>
      <c r="K881" s="1933"/>
      <c r="L881" s="1933"/>
      <c r="M881" s="1933"/>
      <c r="N881" s="1933"/>
      <c r="O881" s="1933"/>
      <c r="P881" s="1933"/>
      <c r="Q881" s="1933"/>
      <c r="R881" s="1933"/>
      <c r="S881" s="1933"/>
      <c r="T881" s="1933"/>
      <c r="U881" s="1933"/>
      <c r="V881" s="1933"/>
      <c r="W881" s="1933"/>
      <c r="X881" s="1933"/>
      <c r="Y881" s="1933"/>
      <c r="Z881" s="1933"/>
    </row>
    <row r="882" spans="1:26" ht="12" x14ac:dyDescent="0.2">
      <c r="A882" s="1933"/>
      <c r="B882" s="1933"/>
      <c r="C882" s="1933"/>
      <c r="D882" s="1933"/>
      <c r="E882" s="1933"/>
      <c r="F882" s="1933"/>
      <c r="G882" s="1934"/>
      <c r="H882" s="1933"/>
      <c r="I882" s="1933"/>
      <c r="J882" s="1933"/>
      <c r="K882" s="1933"/>
      <c r="L882" s="1933"/>
      <c r="M882" s="1933"/>
      <c r="N882" s="1933"/>
      <c r="O882" s="1933"/>
      <c r="P882" s="1933"/>
      <c r="Q882" s="1933"/>
      <c r="R882" s="1933"/>
      <c r="S882" s="1933"/>
      <c r="T882" s="1933"/>
      <c r="U882" s="1933"/>
      <c r="V882" s="1933"/>
      <c r="W882" s="1933"/>
      <c r="X882" s="1933"/>
      <c r="Y882" s="1933"/>
      <c r="Z882" s="1933"/>
    </row>
    <row r="883" spans="1:26" ht="12" x14ac:dyDescent="0.2">
      <c r="A883" s="1933"/>
      <c r="B883" s="1933"/>
      <c r="C883" s="1933"/>
      <c r="D883" s="1933"/>
      <c r="E883" s="1933"/>
      <c r="F883" s="1933"/>
      <c r="G883" s="1934"/>
      <c r="H883" s="1933"/>
      <c r="I883" s="1933"/>
      <c r="J883" s="1933"/>
      <c r="K883" s="1933"/>
      <c r="L883" s="1933"/>
      <c r="M883" s="1933"/>
      <c r="N883" s="1933"/>
      <c r="O883" s="1933"/>
      <c r="P883" s="1933"/>
      <c r="Q883" s="1933"/>
      <c r="R883" s="1933"/>
      <c r="S883" s="1933"/>
      <c r="T883" s="1933"/>
      <c r="U883" s="1933"/>
      <c r="V883" s="1933"/>
      <c r="W883" s="1933"/>
      <c r="X883" s="1933"/>
      <c r="Y883" s="1933"/>
      <c r="Z883" s="1933"/>
    </row>
    <row r="884" spans="1:26" ht="12" x14ac:dyDescent="0.2">
      <c r="A884" s="1933"/>
      <c r="B884" s="1933"/>
      <c r="C884" s="1933"/>
      <c r="D884" s="1933"/>
      <c r="E884" s="1933"/>
      <c r="F884" s="1933"/>
      <c r="G884" s="1934"/>
      <c r="H884" s="1933"/>
      <c r="I884" s="1933"/>
      <c r="J884" s="1933"/>
      <c r="K884" s="1933"/>
      <c r="L884" s="1933"/>
      <c r="M884" s="1933"/>
      <c r="N884" s="1933"/>
      <c r="O884" s="1933"/>
      <c r="P884" s="1933"/>
      <c r="Q884" s="1933"/>
      <c r="R884" s="1933"/>
      <c r="S884" s="1933"/>
      <c r="T884" s="1933"/>
      <c r="U884" s="1933"/>
      <c r="V884" s="1933"/>
      <c r="W884" s="1933"/>
      <c r="X884" s="1933"/>
      <c r="Y884" s="1933"/>
      <c r="Z884" s="1933"/>
    </row>
    <row r="885" spans="1:26" ht="12" x14ac:dyDescent="0.2">
      <c r="A885" s="1933"/>
      <c r="B885" s="1933"/>
      <c r="C885" s="1933"/>
      <c r="D885" s="1933"/>
      <c r="E885" s="1933"/>
      <c r="F885" s="1933"/>
      <c r="G885" s="1934"/>
      <c r="H885" s="1933"/>
      <c r="I885" s="1933"/>
      <c r="J885" s="1933"/>
      <c r="K885" s="1933"/>
      <c r="L885" s="1933"/>
      <c r="M885" s="1933"/>
      <c r="N885" s="1933"/>
      <c r="O885" s="1933"/>
      <c r="P885" s="1933"/>
      <c r="Q885" s="1933"/>
      <c r="R885" s="1933"/>
      <c r="S885" s="1933"/>
      <c r="T885" s="1933"/>
      <c r="U885" s="1933"/>
      <c r="V885" s="1933"/>
      <c r="W885" s="1933"/>
      <c r="X885" s="1933"/>
      <c r="Y885" s="1933"/>
      <c r="Z885" s="1933"/>
    </row>
    <row r="886" spans="1:26" ht="12" x14ac:dyDescent="0.2">
      <c r="A886" s="1933"/>
      <c r="B886" s="1933"/>
      <c r="C886" s="1933"/>
      <c r="D886" s="1933"/>
      <c r="E886" s="1933"/>
      <c r="F886" s="1933"/>
      <c r="G886" s="1934"/>
      <c r="H886" s="1933"/>
      <c r="I886" s="1933"/>
      <c r="J886" s="1933"/>
      <c r="K886" s="1933"/>
      <c r="L886" s="1933"/>
      <c r="M886" s="1933"/>
      <c r="N886" s="1933"/>
      <c r="O886" s="1933"/>
      <c r="P886" s="1933"/>
      <c r="Q886" s="1933"/>
      <c r="R886" s="1933"/>
      <c r="S886" s="1933"/>
      <c r="T886" s="1933"/>
      <c r="U886" s="1933"/>
      <c r="V886" s="1933"/>
      <c r="W886" s="1933"/>
      <c r="X886" s="1933"/>
      <c r="Y886" s="1933"/>
      <c r="Z886" s="1933"/>
    </row>
    <row r="887" spans="1:26" ht="12" x14ac:dyDescent="0.2">
      <c r="A887" s="1933"/>
      <c r="B887" s="1933"/>
      <c r="C887" s="1933"/>
      <c r="D887" s="1933"/>
      <c r="E887" s="1933"/>
      <c r="F887" s="1933"/>
      <c r="G887" s="1934"/>
      <c r="H887" s="1933"/>
      <c r="I887" s="1933"/>
      <c r="J887" s="1933"/>
      <c r="K887" s="1933"/>
      <c r="L887" s="1933"/>
      <c r="M887" s="1933"/>
      <c r="N887" s="1933"/>
      <c r="O887" s="1933"/>
      <c r="P887" s="1933"/>
      <c r="Q887" s="1933"/>
      <c r="R887" s="1933"/>
      <c r="S887" s="1933"/>
      <c r="T887" s="1933"/>
      <c r="U887" s="1933"/>
      <c r="V887" s="1933"/>
      <c r="W887" s="1933"/>
      <c r="X887" s="1933"/>
      <c r="Y887" s="1933"/>
      <c r="Z887" s="1933"/>
    </row>
    <row r="888" spans="1:26" ht="12" x14ac:dyDescent="0.2">
      <c r="A888" s="1933"/>
      <c r="B888" s="1933"/>
      <c r="C888" s="1933"/>
      <c r="D888" s="1933"/>
      <c r="E888" s="1933"/>
      <c r="F888" s="1933"/>
      <c r="G888" s="1934"/>
      <c r="H888" s="1933"/>
      <c r="I888" s="1933"/>
      <c r="J888" s="1933"/>
      <c r="K888" s="1933"/>
      <c r="L888" s="1933"/>
      <c r="M888" s="1933"/>
      <c r="N888" s="1933"/>
      <c r="O888" s="1933"/>
      <c r="P888" s="1933"/>
      <c r="Q888" s="1933"/>
      <c r="R888" s="1933"/>
      <c r="S888" s="1933"/>
      <c r="T888" s="1933"/>
      <c r="U888" s="1933"/>
      <c r="V888" s="1933"/>
      <c r="W888" s="1933"/>
      <c r="X888" s="1933"/>
      <c r="Y888" s="1933"/>
      <c r="Z888" s="1933"/>
    </row>
    <row r="889" spans="1:26" ht="12" x14ac:dyDescent="0.2">
      <c r="A889" s="1933"/>
      <c r="B889" s="1933"/>
      <c r="C889" s="1933"/>
      <c r="D889" s="1933"/>
      <c r="E889" s="1933"/>
      <c r="F889" s="1933"/>
      <c r="G889" s="1934"/>
      <c r="H889" s="1933"/>
      <c r="I889" s="1933"/>
      <c r="J889" s="1933"/>
      <c r="K889" s="1933"/>
      <c r="L889" s="1933"/>
      <c r="M889" s="1933"/>
      <c r="N889" s="1933"/>
      <c r="O889" s="1933"/>
      <c r="P889" s="1933"/>
      <c r="Q889" s="1933"/>
      <c r="R889" s="1933"/>
      <c r="S889" s="1933"/>
      <c r="T889" s="1933"/>
      <c r="U889" s="1933"/>
      <c r="V889" s="1933"/>
      <c r="W889" s="1933"/>
      <c r="X889" s="1933"/>
      <c r="Y889" s="1933"/>
      <c r="Z889" s="1933"/>
    </row>
    <row r="890" spans="1:26" ht="12" x14ac:dyDescent="0.2">
      <c r="A890" s="1933"/>
      <c r="B890" s="1933"/>
      <c r="C890" s="1933"/>
      <c r="D890" s="1933"/>
      <c r="E890" s="1933"/>
      <c r="F890" s="1933"/>
      <c r="G890" s="1934"/>
      <c r="H890" s="1933"/>
      <c r="I890" s="1933"/>
      <c r="J890" s="1933"/>
      <c r="K890" s="1933"/>
      <c r="L890" s="1933"/>
      <c r="M890" s="1933"/>
      <c r="N890" s="1933"/>
      <c r="O890" s="1933"/>
      <c r="P890" s="1933"/>
      <c r="Q890" s="1933"/>
      <c r="R890" s="1933"/>
      <c r="S890" s="1933"/>
      <c r="T890" s="1933"/>
      <c r="U890" s="1933"/>
      <c r="V890" s="1933"/>
      <c r="W890" s="1933"/>
      <c r="X890" s="1933"/>
      <c r="Y890" s="1933"/>
      <c r="Z890" s="1933"/>
    </row>
    <row r="891" spans="1:26" ht="12" x14ac:dyDescent="0.2">
      <c r="A891" s="1933"/>
      <c r="B891" s="1933"/>
      <c r="C891" s="1933"/>
      <c r="D891" s="1933"/>
      <c r="E891" s="1933"/>
      <c r="F891" s="1933"/>
      <c r="G891" s="1934"/>
      <c r="H891" s="1933"/>
      <c r="I891" s="1933"/>
      <c r="J891" s="1933"/>
      <c r="K891" s="1933"/>
      <c r="L891" s="1933"/>
      <c r="M891" s="1933"/>
      <c r="N891" s="1933"/>
      <c r="O891" s="1933"/>
      <c r="P891" s="1933"/>
      <c r="Q891" s="1933"/>
      <c r="R891" s="1933"/>
      <c r="S891" s="1933"/>
      <c r="T891" s="1933"/>
      <c r="U891" s="1933"/>
      <c r="V891" s="1933"/>
      <c r="W891" s="1933"/>
      <c r="X891" s="1933"/>
      <c r="Y891" s="1933"/>
      <c r="Z891" s="1933"/>
    </row>
    <row r="892" spans="1:26" ht="12" x14ac:dyDescent="0.2">
      <c r="A892" s="1933"/>
      <c r="B892" s="1933"/>
      <c r="C892" s="1933"/>
      <c r="D892" s="1933"/>
      <c r="E892" s="1933"/>
      <c r="F892" s="1933"/>
      <c r="G892" s="1934"/>
      <c r="H892" s="1933"/>
      <c r="I892" s="1933"/>
      <c r="J892" s="1933"/>
      <c r="K892" s="1933"/>
      <c r="L892" s="1933"/>
      <c r="M892" s="1933"/>
      <c r="N892" s="1933"/>
      <c r="O892" s="1933"/>
      <c r="P892" s="1933"/>
      <c r="Q892" s="1933"/>
      <c r="R892" s="1933"/>
      <c r="S892" s="1933"/>
      <c r="T892" s="1933"/>
      <c r="U892" s="1933"/>
      <c r="V892" s="1933"/>
      <c r="W892" s="1933"/>
      <c r="X892" s="1933"/>
      <c r="Y892" s="1933"/>
      <c r="Z892" s="1933"/>
    </row>
    <row r="893" spans="1:26" ht="12" x14ac:dyDescent="0.2">
      <c r="A893" s="1933"/>
      <c r="B893" s="1933"/>
      <c r="C893" s="1933"/>
      <c r="D893" s="1933"/>
      <c r="E893" s="1933"/>
      <c r="F893" s="1933"/>
      <c r="G893" s="1934"/>
      <c r="H893" s="1933"/>
      <c r="I893" s="1933"/>
      <c r="J893" s="1933"/>
      <c r="K893" s="1933"/>
      <c r="L893" s="1933"/>
      <c r="M893" s="1933"/>
      <c r="N893" s="1933"/>
      <c r="O893" s="1933"/>
      <c r="P893" s="1933"/>
      <c r="Q893" s="1933"/>
      <c r="R893" s="1933"/>
      <c r="S893" s="1933"/>
      <c r="T893" s="1933"/>
      <c r="U893" s="1933"/>
      <c r="V893" s="1933"/>
      <c r="W893" s="1933"/>
      <c r="X893" s="1933"/>
      <c r="Y893" s="1933"/>
      <c r="Z893" s="1933"/>
    </row>
    <row r="894" spans="1:26" ht="12" x14ac:dyDescent="0.2">
      <c r="A894" s="1933"/>
      <c r="B894" s="1933"/>
      <c r="C894" s="1933"/>
      <c r="D894" s="1933"/>
      <c r="E894" s="1933"/>
      <c r="F894" s="1933"/>
      <c r="G894" s="1934"/>
      <c r="H894" s="1933"/>
      <c r="I894" s="1933"/>
      <c r="J894" s="1933"/>
      <c r="K894" s="1933"/>
      <c r="L894" s="1933"/>
      <c r="M894" s="1933"/>
      <c r="N894" s="1933"/>
      <c r="O894" s="1933"/>
      <c r="P894" s="1933"/>
      <c r="Q894" s="1933"/>
      <c r="R894" s="1933"/>
      <c r="S894" s="1933"/>
      <c r="T894" s="1933"/>
      <c r="U894" s="1933"/>
      <c r="V894" s="1933"/>
      <c r="W894" s="1933"/>
      <c r="X894" s="1933"/>
      <c r="Y894" s="1933"/>
      <c r="Z894" s="1933"/>
    </row>
    <row r="895" spans="1:26" ht="12" x14ac:dyDescent="0.2">
      <c r="A895" s="1933"/>
      <c r="B895" s="1933"/>
      <c r="C895" s="1933"/>
      <c r="D895" s="1933"/>
      <c r="E895" s="1933"/>
      <c r="F895" s="1933"/>
      <c r="G895" s="1934"/>
      <c r="H895" s="1933"/>
      <c r="I895" s="1933"/>
      <c r="J895" s="1933"/>
      <c r="K895" s="1933"/>
      <c r="L895" s="1933"/>
      <c r="M895" s="1933"/>
      <c r="N895" s="1933"/>
      <c r="O895" s="1933"/>
      <c r="P895" s="1933"/>
      <c r="Q895" s="1933"/>
      <c r="R895" s="1933"/>
      <c r="S895" s="1933"/>
      <c r="T895" s="1933"/>
      <c r="U895" s="1933"/>
      <c r="V895" s="1933"/>
      <c r="W895" s="1933"/>
      <c r="X895" s="1933"/>
      <c r="Y895" s="1933"/>
      <c r="Z895" s="1933"/>
    </row>
    <row r="896" spans="1:26" ht="12" x14ac:dyDescent="0.2">
      <c r="A896" s="1933"/>
      <c r="B896" s="1933"/>
      <c r="C896" s="1933"/>
      <c r="D896" s="1933"/>
      <c r="E896" s="1933"/>
      <c r="F896" s="1933"/>
      <c r="G896" s="1934"/>
      <c r="H896" s="1933"/>
      <c r="I896" s="1933"/>
      <c r="J896" s="1933"/>
      <c r="K896" s="1933"/>
      <c r="L896" s="1933"/>
      <c r="M896" s="1933"/>
      <c r="N896" s="1933"/>
      <c r="O896" s="1933"/>
      <c r="P896" s="1933"/>
      <c r="Q896" s="1933"/>
      <c r="R896" s="1933"/>
      <c r="S896" s="1933"/>
      <c r="T896" s="1933"/>
      <c r="U896" s="1933"/>
      <c r="V896" s="1933"/>
      <c r="W896" s="1933"/>
      <c r="X896" s="1933"/>
      <c r="Y896" s="1933"/>
      <c r="Z896" s="1933"/>
    </row>
    <row r="897" spans="1:26" ht="12" x14ac:dyDescent="0.2">
      <c r="A897" s="1933"/>
      <c r="B897" s="1933"/>
      <c r="C897" s="1933"/>
      <c r="D897" s="1933"/>
      <c r="E897" s="1933"/>
      <c r="F897" s="1933"/>
      <c r="G897" s="1934"/>
      <c r="H897" s="1933"/>
      <c r="I897" s="1933"/>
      <c r="J897" s="1933"/>
      <c r="K897" s="1933"/>
      <c r="L897" s="1933"/>
      <c r="M897" s="1933"/>
      <c r="N897" s="1933"/>
      <c r="O897" s="1933"/>
      <c r="P897" s="1933"/>
      <c r="Q897" s="1933"/>
      <c r="R897" s="1933"/>
      <c r="S897" s="1933"/>
      <c r="T897" s="1933"/>
      <c r="U897" s="1933"/>
      <c r="V897" s="1933"/>
      <c r="W897" s="1933"/>
      <c r="X897" s="1933"/>
      <c r="Y897" s="1933"/>
      <c r="Z897" s="1933"/>
    </row>
    <row r="898" spans="1:26" ht="12" x14ac:dyDescent="0.2">
      <c r="A898" s="1933"/>
      <c r="B898" s="1933"/>
      <c r="C898" s="1933"/>
      <c r="D898" s="1933"/>
      <c r="E898" s="1933"/>
      <c r="F898" s="1933"/>
      <c r="G898" s="1934"/>
      <c r="H898" s="1933"/>
      <c r="I898" s="1933"/>
      <c r="J898" s="1933"/>
      <c r="K898" s="1933"/>
      <c r="L898" s="1933"/>
      <c r="M898" s="1933"/>
      <c r="N898" s="1933"/>
      <c r="O898" s="1933"/>
      <c r="P898" s="1933"/>
      <c r="Q898" s="1933"/>
      <c r="R898" s="1933"/>
      <c r="S898" s="1933"/>
      <c r="T898" s="1933"/>
      <c r="U898" s="1933"/>
      <c r="V898" s="1933"/>
      <c r="W898" s="1933"/>
      <c r="X898" s="1933"/>
      <c r="Y898" s="1933"/>
      <c r="Z898" s="1933"/>
    </row>
    <row r="899" spans="1:26" ht="12" x14ac:dyDescent="0.2">
      <c r="A899" s="1933"/>
      <c r="B899" s="1933"/>
      <c r="C899" s="1933"/>
      <c r="D899" s="1933"/>
      <c r="E899" s="1933"/>
      <c r="F899" s="1933"/>
      <c r="G899" s="1934"/>
      <c r="H899" s="1933"/>
      <c r="I899" s="1933"/>
      <c r="J899" s="1933"/>
      <c r="K899" s="1933"/>
      <c r="L899" s="1933"/>
      <c r="M899" s="1933"/>
      <c r="N899" s="1933"/>
      <c r="O899" s="1933"/>
      <c r="P899" s="1933"/>
      <c r="Q899" s="1933"/>
      <c r="R899" s="1933"/>
      <c r="S899" s="1933"/>
      <c r="T899" s="1933"/>
      <c r="U899" s="1933"/>
      <c r="V899" s="1933"/>
      <c r="W899" s="1933"/>
      <c r="X899" s="1933"/>
      <c r="Y899" s="1933"/>
      <c r="Z899" s="1933"/>
    </row>
    <row r="900" spans="1:26" ht="12" x14ac:dyDescent="0.2">
      <c r="A900" s="1933"/>
      <c r="B900" s="1933"/>
      <c r="C900" s="1933"/>
      <c r="D900" s="1933"/>
      <c r="E900" s="1933"/>
      <c r="F900" s="1933"/>
      <c r="G900" s="1934"/>
      <c r="H900" s="1933"/>
      <c r="I900" s="1933"/>
      <c r="J900" s="1933"/>
      <c r="K900" s="1933"/>
      <c r="L900" s="1933"/>
      <c r="M900" s="1933"/>
      <c r="N900" s="1933"/>
      <c r="O900" s="1933"/>
      <c r="P900" s="1933"/>
      <c r="Q900" s="1933"/>
      <c r="R900" s="1933"/>
      <c r="S900" s="1933"/>
      <c r="T900" s="1933"/>
      <c r="U900" s="1933"/>
      <c r="V900" s="1933"/>
      <c r="W900" s="1933"/>
      <c r="X900" s="1933"/>
      <c r="Y900" s="1933"/>
      <c r="Z900" s="1933"/>
    </row>
    <row r="901" spans="1:26" ht="12" x14ac:dyDescent="0.2">
      <c r="A901" s="1933"/>
      <c r="B901" s="1933"/>
      <c r="C901" s="1933"/>
      <c r="D901" s="1933"/>
      <c r="E901" s="1933"/>
      <c r="F901" s="1933"/>
      <c r="G901" s="1934"/>
      <c r="H901" s="1933"/>
      <c r="I901" s="1933"/>
      <c r="J901" s="1933"/>
      <c r="K901" s="1933"/>
      <c r="L901" s="1933"/>
      <c r="M901" s="1933"/>
      <c r="N901" s="1933"/>
      <c r="O901" s="1933"/>
      <c r="P901" s="1933"/>
      <c r="Q901" s="1933"/>
      <c r="R901" s="1933"/>
      <c r="S901" s="1933"/>
      <c r="T901" s="1933"/>
      <c r="U901" s="1933"/>
      <c r="V901" s="1933"/>
      <c r="W901" s="1933"/>
      <c r="X901" s="1933"/>
      <c r="Y901" s="1933"/>
      <c r="Z901" s="1933"/>
    </row>
    <row r="902" spans="1:26" ht="12" x14ac:dyDescent="0.2">
      <c r="A902" s="1933"/>
      <c r="B902" s="1933"/>
      <c r="C902" s="1933"/>
      <c r="D902" s="1933"/>
      <c r="E902" s="1933"/>
      <c r="F902" s="1933"/>
      <c r="G902" s="1934"/>
      <c r="H902" s="1933"/>
      <c r="I902" s="1933"/>
      <c r="J902" s="1933"/>
      <c r="K902" s="1933"/>
      <c r="L902" s="1933"/>
      <c r="M902" s="1933"/>
      <c r="N902" s="1933"/>
      <c r="O902" s="1933"/>
      <c r="P902" s="1933"/>
      <c r="Q902" s="1933"/>
      <c r="R902" s="1933"/>
      <c r="S902" s="1933"/>
      <c r="T902" s="1933"/>
      <c r="U902" s="1933"/>
      <c r="V902" s="1933"/>
      <c r="W902" s="1933"/>
      <c r="X902" s="1933"/>
      <c r="Y902" s="1933"/>
      <c r="Z902" s="1933"/>
    </row>
    <row r="903" spans="1:26" ht="12" x14ac:dyDescent="0.2">
      <c r="A903" s="1933"/>
      <c r="B903" s="1933"/>
      <c r="C903" s="1933"/>
      <c r="D903" s="1933"/>
      <c r="E903" s="1933"/>
      <c r="F903" s="1933"/>
      <c r="G903" s="1934"/>
      <c r="H903" s="1933"/>
      <c r="I903" s="1933"/>
      <c r="J903" s="1933"/>
      <c r="K903" s="1933"/>
      <c r="L903" s="1933"/>
      <c r="M903" s="1933"/>
      <c r="N903" s="1933"/>
      <c r="O903" s="1933"/>
      <c r="P903" s="1933"/>
      <c r="Q903" s="1933"/>
      <c r="R903" s="1933"/>
      <c r="S903" s="1933"/>
      <c r="T903" s="1933"/>
      <c r="U903" s="1933"/>
      <c r="V903" s="1933"/>
      <c r="W903" s="1933"/>
      <c r="X903" s="1933"/>
      <c r="Y903" s="1933"/>
      <c r="Z903" s="1933"/>
    </row>
    <row r="904" spans="1:26" ht="12" x14ac:dyDescent="0.2">
      <c r="A904" s="1933"/>
      <c r="B904" s="1933"/>
      <c r="C904" s="1933"/>
      <c r="D904" s="1933"/>
      <c r="E904" s="1933"/>
      <c r="F904" s="1933"/>
      <c r="G904" s="1934"/>
      <c r="H904" s="1933"/>
      <c r="I904" s="1933"/>
      <c r="J904" s="1933"/>
      <c r="K904" s="1933"/>
      <c r="L904" s="1933"/>
      <c r="M904" s="1933"/>
      <c r="N904" s="1933"/>
      <c r="O904" s="1933"/>
      <c r="P904" s="1933"/>
      <c r="Q904" s="1933"/>
      <c r="R904" s="1933"/>
      <c r="S904" s="1933"/>
      <c r="T904" s="1933"/>
      <c r="U904" s="1933"/>
      <c r="V904" s="1933"/>
      <c r="W904" s="1933"/>
      <c r="X904" s="1933"/>
      <c r="Y904" s="1933"/>
      <c r="Z904" s="1933"/>
    </row>
    <row r="905" spans="1:26" ht="12" x14ac:dyDescent="0.2">
      <c r="A905" s="1933"/>
      <c r="B905" s="1933"/>
      <c r="C905" s="1933"/>
      <c r="D905" s="1933"/>
      <c r="E905" s="1933"/>
      <c r="F905" s="1933"/>
      <c r="G905" s="1934"/>
      <c r="H905" s="1933"/>
      <c r="I905" s="1933"/>
      <c r="J905" s="1933"/>
      <c r="K905" s="1933"/>
      <c r="L905" s="1933"/>
      <c r="M905" s="1933"/>
      <c r="N905" s="1933"/>
      <c r="O905" s="1933"/>
      <c r="P905" s="1933"/>
      <c r="Q905" s="1933"/>
      <c r="R905" s="1933"/>
      <c r="S905" s="1933"/>
      <c r="T905" s="1933"/>
      <c r="U905" s="1933"/>
      <c r="V905" s="1933"/>
      <c r="W905" s="1933"/>
      <c r="X905" s="1933"/>
      <c r="Y905" s="1933"/>
      <c r="Z905" s="1933"/>
    </row>
    <row r="906" spans="1:26" ht="12" x14ac:dyDescent="0.2">
      <c r="A906" s="1933"/>
      <c r="B906" s="1933"/>
      <c r="C906" s="1933"/>
      <c r="D906" s="1933"/>
      <c r="E906" s="1933"/>
      <c r="F906" s="1933"/>
      <c r="G906" s="1934"/>
      <c r="H906" s="1933"/>
      <c r="I906" s="1933"/>
      <c r="J906" s="1933"/>
      <c r="K906" s="1933"/>
      <c r="L906" s="1933"/>
      <c r="M906" s="1933"/>
      <c r="N906" s="1933"/>
      <c r="O906" s="1933"/>
      <c r="P906" s="1933"/>
      <c r="Q906" s="1933"/>
      <c r="R906" s="1933"/>
      <c r="S906" s="1933"/>
      <c r="T906" s="1933"/>
      <c r="U906" s="1933"/>
      <c r="V906" s="1933"/>
      <c r="W906" s="1933"/>
      <c r="X906" s="1933"/>
      <c r="Y906" s="1933"/>
      <c r="Z906" s="1933"/>
    </row>
    <row r="907" spans="1:26" ht="12" x14ac:dyDescent="0.2">
      <c r="A907" s="1933"/>
      <c r="B907" s="1933"/>
      <c r="C907" s="1933"/>
      <c r="D907" s="1933"/>
      <c r="E907" s="1933"/>
      <c r="F907" s="1933"/>
      <c r="G907" s="1934"/>
      <c r="H907" s="1933"/>
      <c r="I907" s="1933"/>
      <c r="J907" s="1933"/>
      <c r="K907" s="1933"/>
      <c r="L907" s="1933"/>
      <c r="M907" s="1933"/>
      <c r="N907" s="1933"/>
      <c r="O907" s="1933"/>
      <c r="P907" s="1933"/>
      <c r="Q907" s="1933"/>
      <c r="R907" s="1933"/>
      <c r="S907" s="1933"/>
      <c r="T907" s="1933"/>
      <c r="U907" s="1933"/>
      <c r="V907" s="1933"/>
      <c r="W907" s="1933"/>
      <c r="X907" s="1933"/>
      <c r="Y907" s="1933"/>
      <c r="Z907" s="1933"/>
    </row>
    <row r="908" spans="1:26" ht="12" x14ac:dyDescent="0.2">
      <c r="A908" s="1933"/>
      <c r="B908" s="1933"/>
      <c r="C908" s="1933"/>
      <c r="D908" s="1933"/>
      <c r="E908" s="1933"/>
      <c r="F908" s="1933"/>
      <c r="G908" s="1934"/>
      <c r="H908" s="1933"/>
      <c r="I908" s="1933"/>
      <c r="J908" s="1933"/>
      <c r="K908" s="1933"/>
      <c r="L908" s="1933"/>
      <c r="M908" s="1933"/>
      <c r="N908" s="1933"/>
      <c r="O908" s="1933"/>
      <c r="P908" s="1933"/>
      <c r="Q908" s="1933"/>
      <c r="R908" s="1933"/>
      <c r="S908" s="1933"/>
      <c r="T908" s="1933"/>
      <c r="U908" s="1933"/>
      <c r="V908" s="1933"/>
      <c r="W908" s="1933"/>
      <c r="X908" s="1933"/>
      <c r="Y908" s="1933"/>
      <c r="Z908" s="1933"/>
    </row>
    <row r="909" spans="1:26" ht="12" x14ac:dyDescent="0.2">
      <c r="A909" s="1933"/>
      <c r="B909" s="1933"/>
      <c r="C909" s="1933"/>
      <c r="D909" s="1933"/>
      <c r="E909" s="1933"/>
      <c r="F909" s="1933"/>
      <c r="G909" s="1934"/>
      <c r="H909" s="1933"/>
      <c r="I909" s="1933"/>
      <c r="J909" s="1933"/>
      <c r="K909" s="1933"/>
      <c r="L909" s="1933"/>
      <c r="M909" s="1933"/>
      <c r="N909" s="1933"/>
      <c r="O909" s="1933"/>
      <c r="P909" s="1933"/>
      <c r="Q909" s="1933"/>
      <c r="R909" s="1933"/>
      <c r="S909" s="1933"/>
      <c r="T909" s="1933"/>
      <c r="U909" s="1933"/>
      <c r="V909" s="1933"/>
      <c r="W909" s="1933"/>
      <c r="X909" s="1933"/>
      <c r="Y909" s="1933"/>
      <c r="Z909" s="1933"/>
    </row>
    <row r="910" spans="1:26" ht="12" x14ac:dyDescent="0.2">
      <c r="A910" s="1933"/>
      <c r="B910" s="1933"/>
      <c r="C910" s="1933"/>
      <c r="D910" s="1933"/>
      <c r="E910" s="1933"/>
      <c r="F910" s="1933"/>
      <c r="G910" s="1934"/>
      <c r="H910" s="1933"/>
      <c r="I910" s="1933"/>
      <c r="J910" s="1933"/>
      <c r="K910" s="1933"/>
      <c r="L910" s="1933"/>
      <c r="M910" s="1933"/>
      <c r="N910" s="1933"/>
      <c r="O910" s="1933"/>
      <c r="P910" s="1933"/>
      <c r="Q910" s="1933"/>
      <c r="R910" s="1933"/>
      <c r="S910" s="1933"/>
      <c r="T910" s="1933"/>
      <c r="U910" s="1933"/>
      <c r="V910" s="1933"/>
      <c r="W910" s="1933"/>
      <c r="X910" s="1933"/>
      <c r="Y910" s="1933"/>
      <c r="Z910" s="1933"/>
    </row>
    <row r="911" spans="1:26" ht="12" x14ac:dyDescent="0.2">
      <c r="A911" s="1933"/>
      <c r="B911" s="1933"/>
      <c r="C911" s="1933"/>
      <c r="D911" s="1933"/>
      <c r="E911" s="1933"/>
      <c r="F911" s="1933"/>
      <c r="G911" s="1934"/>
      <c r="H911" s="1933"/>
      <c r="I911" s="1933"/>
      <c r="J911" s="1933"/>
      <c r="K911" s="1933"/>
      <c r="L911" s="1933"/>
      <c r="M911" s="1933"/>
      <c r="N911" s="1933"/>
      <c r="O911" s="1933"/>
      <c r="P911" s="1933"/>
      <c r="Q911" s="1933"/>
      <c r="R911" s="1933"/>
      <c r="S911" s="1933"/>
      <c r="T911" s="1933"/>
      <c r="U911" s="1933"/>
      <c r="V911" s="1933"/>
      <c r="W911" s="1933"/>
      <c r="X911" s="1933"/>
      <c r="Y911" s="1933"/>
      <c r="Z911" s="1933"/>
    </row>
    <row r="912" spans="1:26" ht="12" x14ac:dyDescent="0.2">
      <c r="A912" s="1933"/>
      <c r="B912" s="1933"/>
      <c r="C912" s="1933"/>
      <c r="D912" s="1933"/>
      <c r="E912" s="1933"/>
      <c r="F912" s="1933"/>
      <c r="G912" s="1934"/>
      <c r="H912" s="1933"/>
      <c r="I912" s="1933"/>
      <c r="J912" s="1933"/>
      <c r="K912" s="1933"/>
      <c r="L912" s="1933"/>
      <c r="M912" s="1933"/>
      <c r="N912" s="1933"/>
      <c r="O912" s="1933"/>
      <c r="P912" s="1933"/>
      <c r="Q912" s="1933"/>
      <c r="R912" s="1933"/>
      <c r="S912" s="1933"/>
      <c r="T912" s="1933"/>
      <c r="U912" s="1933"/>
      <c r="V912" s="1933"/>
      <c r="W912" s="1933"/>
      <c r="X912" s="1933"/>
      <c r="Y912" s="1933"/>
      <c r="Z912" s="1933"/>
    </row>
    <row r="913" spans="1:26" ht="12" x14ac:dyDescent="0.2">
      <c r="A913" s="1933"/>
      <c r="B913" s="1933"/>
      <c r="C913" s="1933"/>
      <c r="D913" s="1933"/>
      <c r="E913" s="1933"/>
      <c r="F913" s="1933"/>
      <c r="G913" s="1934"/>
      <c r="H913" s="1933"/>
      <c r="I913" s="1933"/>
      <c r="J913" s="1933"/>
      <c r="K913" s="1933"/>
      <c r="L913" s="1933"/>
      <c r="M913" s="1933"/>
      <c r="N913" s="1933"/>
      <c r="O913" s="1933"/>
      <c r="P913" s="1933"/>
      <c r="Q913" s="1933"/>
      <c r="R913" s="1933"/>
      <c r="S913" s="1933"/>
      <c r="T913" s="1933"/>
      <c r="U913" s="1933"/>
      <c r="V913" s="1933"/>
      <c r="W913" s="1933"/>
      <c r="X913" s="1933"/>
      <c r="Y913" s="1933"/>
      <c r="Z913" s="1933"/>
    </row>
    <row r="914" spans="1:26" ht="12" x14ac:dyDescent="0.2">
      <c r="A914" s="1933"/>
      <c r="B914" s="1933"/>
      <c r="C914" s="1933"/>
      <c r="D914" s="1933"/>
      <c r="E914" s="1933"/>
      <c r="F914" s="1933"/>
      <c r="G914" s="1934"/>
      <c r="H914" s="1933"/>
      <c r="I914" s="1933"/>
      <c r="J914" s="1933"/>
      <c r="K914" s="1933"/>
      <c r="L914" s="1933"/>
      <c r="M914" s="1933"/>
      <c r="N914" s="1933"/>
      <c r="O914" s="1933"/>
      <c r="P914" s="1933"/>
      <c r="Q914" s="1933"/>
      <c r="R914" s="1933"/>
      <c r="S914" s="1933"/>
      <c r="T914" s="1933"/>
      <c r="U914" s="1933"/>
      <c r="V914" s="1933"/>
      <c r="W914" s="1933"/>
      <c r="X914" s="1933"/>
      <c r="Y914" s="1933"/>
      <c r="Z914" s="1933"/>
    </row>
    <row r="915" spans="1:26" ht="12" x14ac:dyDescent="0.2">
      <c r="A915" s="1933"/>
      <c r="B915" s="1933"/>
      <c r="C915" s="1933"/>
      <c r="D915" s="1933"/>
      <c r="E915" s="1933"/>
      <c r="F915" s="1933"/>
      <c r="G915" s="1934"/>
      <c r="H915" s="1933"/>
      <c r="I915" s="1933"/>
      <c r="J915" s="1933"/>
      <c r="K915" s="1933"/>
      <c r="L915" s="1933"/>
      <c r="M915" s="1933"/>
      <c r="N915" s="1933"/>
      <c r="O915" s="1933"/>
      <c r="P915" s="1933"/>
      <c r="Q915" s="1933"/>
      <c r="R915" s="1933"/>
      <c r="S915" s="1933"/>
      <c r="T915" s="1933"/>
      <c r="U915" s="1933"/>
      <c r="V915" s="1933"/>
      <c r="W915" s="1933"/>
      <c r="X915" s="1933"/>
      <c r="Y915" s="1933"/>
      <c r="Z915" s="1933"/>
    </row>
    <row r="916" spans="1:26" ht="12" x14ac:dyDescent="0.2">
      <c r="A916" s="1933"/>
      <c r="B916" s="1933"/>
      <c r="C916" s="1933"/>
      <c r="D916" s="1933"/>
      <c r="E916" s="1933"/>
      <c r="F916" s="1933"/>
      <c r="G916" s="1934"/>
      <c r="H916" s="1933"/>
      <c r="I916" s="1933"/>
      <c r="J916" s="1933"/>
      <c r="K916" s="1933"/>
      <c r="L916" s="1933"/>
      <c r="M916" s="1933"/>
      <c r="N916" s="1933"/>
      <c r="O916" s="1933"/>
      <c r="P916" s="1933"/>
      <c r="Q916" s="1933"/>
      <c r="R916" s="1933"/>
      <c r="S916" s="1933"/>
      <c r="T916" s="1933"/>
      <c r="U916" s="1933"/>
      <c r="V916" s="1933"/>
      <c r="W916" s="1933"/>
      <c r="X916" s="1933"/>
      <c r="Y916" s="1933"/>
      <c r="Z916" s="1933"/>
    </row>
    <row r="917" spans="1:26" ht="12" x14ac:dyDescent="0.2">
      <c r="A917" s="1933"/>
      <c r="B917" s="1933"/>
      <c r="C917" s="1933"/>
      <c r="D917" s="1933"/>
      <c r="E917" s="1933"/>
      <c r="F917" s="1933"/>
      <c r="G917" s="1934"/>
      <c r="H917" s="1933"/>
      <c r="I917" s="1933"/>
      <c r="J917" s="1933"/>
      <c r="K917" s="1933"/>
      <c r="L917" s="1933"/>
      <c r="M917" s="1933"/>
      <c r="N917" s="1933"/>
      <c r="O917" s="1933"/>
      <c r="P917" s="1933"/>
      <c r="Q917" s="1933"/>
      <c r="R917" s="1933"/>
      <c r="S917" s="1933"/>
      <c r="T917" s="1933"/>
      <c r="U917" s="1933"/>
      <c r="V917" s="1933"/>
      <c r="W917" s="1933"/>
      <c r="X917" s="1933"/>
      <c r="Y917" s="1933"/>
      <c r="Z917" s="1933"/>
    </row>
    <row r="918" spans="1:26" ht="12" x14ac:dyDescent="0.2">
      <c r="A918" s="1933"/>
      <c r="B918" s="1933"/>
      <c r="C918" s="1933"/>
      <c r="D918" s="1933"/>
      <c r="E918" s="1933"/>
      <c r="F918" s="1933"/>
      <c r="G918" s="1934"/>
      <c r="H918" s="1933"/>
      <c r="I918" s="1933"/>
      <c r="J918" s="1933"/>
      <c r="K918" s="1933"/>
      <c r="L918" s="1933"/>
      <c r="M918" s="1933"/>
      <c r="N918" s="1933"/>
      <c r="O918" s="1933"/>
      <c r="P918" s="1933"/>
      <c r="Q918" s="1933"/>
      <c r="R918" s="1933"/>
      <c r="S918" s="1933"/>
      <c r="T918" s="1933"/>
      <c r="U918" s="1933"/>
      <c r="V918" s="1933"/>
      <c r="W918" s="1933"/>
      <c r="X918" s="1933"/>
      <c r="Y918" s="1933"/>
      <c r="Z918" s="1933"/>
    </row>
    <row r="919" spans="1:26" ht="12" x14ac:dyDescent="0.2">
      <c r="A919" s="1933"/>
      <c r="B919" s="1933"/>
      <c r="C919" s="1933"/>
      <c r="D919" s="1933"/>
      <c r="E919" s="1933"/>
      <c r="F919" s="1933"/>
      <c r="G919" s="1934"/>
      <c r="H919" s="1933"/>
      <c r="I919" s="1933"/>
      <c r="J919" s="1933"/>
      <c r="K919" s="1933"/>
      <c r="L919" s="1933"/>
      <c r="M919" s="1933"/>
      <c r="N919" s="1933"/>
      <c r="O919" s="1933"/>
      <c r="P919" s="1933"/>
      <c r="Q919" s="1933"/>
      <c r="R919" s="1933"/>
      <c r="S919" s="1933"/>
      <c r="T919" s="1933"/>
      <c r="U919" s="1933"/>
      <c r="V919" s="1933"/>
      <c r="W919" s="1933"/>
      <c r="X919" s="1933"/>
      <c r="Y919" s="1933"/>
      <c r="Z919" s="1933"/>
    </row>
    <row r="920" spans="1:26" ht="12" x14ac:dyDescent="0.2">
      <c r="A920" s="1933"/>
      <c r="B920" s="1933"/>
      <c r="C920" s="1933"/>
      <c r="D920" s="1933"/>
      <c r="E920" s="1933"/>
      <c r="F920" s="1933"/>
      <c r="G920" s="1934"/>
      <c r="H920" s="1933"/>
      <c r="I920" s="1933"/>
      <c r="J920" s="1933"/>
      <c r="K920" s="1933"/>
      <c r="L920" s="1933"/>
      <c r="M920" s="1933"/>
      <c r="N920" s="1933"/>
      <c r="O920" s="1933"/>
      <c r="P920" s="1933"/>
      <c r="Q920" s="1933"/>
      <c r="R920" s="1933"/>
      <c r="S920" s="1933"/>
      <c r="T920" s="1933"/>
      <c r="U920" s="1933"/>
      <c r="V920" s="1933"/>
      <c r="W920" s="1933"/>
      <c r="X920" s="1933"/>
      <c r="Y920" s="1933"/>
      <c r="Z920" s="1933"/>
    </row>
    <row r="921" spans="1:26" ht="12" x14ac:dyDescent="0.2">
      <c r="A921" s="1933"/>
      <c r="B921" s="1933"/>
      <c r="C921" s="1933"/>
      <c r="D921" s="1933"/>
      <c r="E921" s="1933"/>
      <c r="F921" s="1933"/>
      <c r="G921" s="1934"/>
      <c r="H921" s="1933"/>
      <c r="I921" s="1933"/>
      <c r="J921" s="1933"/>
      <c r="K921" s="1933"/>
      <c r="L921" s="1933"/>
      <c r="M921" s="1933"/>
      <c r="N921" s="1933"/>
      <c r="O921" s="1933"/>
      <c r="P921" s="1933"/>
      <c r="Q921" s="1933"/>
      <c r="R921" s="1933"/>
      <c r="S921" s="1933"/>
      <c r="T921" s="1933"/>
      <c r="U921" s="1933"/>
      <c r="V921" s="1933"/>
      <c r="W921" s="1933"/>
      <c r="X921" s="1933"/>
      <c r="Y921" s="1933"/>
      <c r="Z921" s="1933"/>
    </row>
    <row r="922" spans="1:26" ht="12" x14ac:dyDescent="0.2">
      <c r="A922" s="1933"/>
      <c r="B922" s="1933"/>
      <c r="C922" s="1933"/>
      <c r="D922" s="1933"/>
      <c r="E922" s="1933"/>
      <c r="F922" s="1933"/>
      <c r="G922" s="1934"/>
      <c r="H922" s="1933"/>
      <c r="I922" s="1933"/>
      <c r="J922" s="1933"/>
      <c r="K922" s="1933"/>
      <c r="L922" s="1933"/>
      <c r="M922" s="1933"/>
      <c r="N922" s="1933"/>
      <c r="O922" s="1933"/>
      <c r="P922" s="1933"/>
      <c r="Q922" s="1933"/>
      <c r="R922" s="1933"/>
      <c r="S922" s="1933"/>
      <c r="T922" s="1933"/>
      <c r="U922" s="1933"/>
      <c r="V922" s="1933"/>
      <c r="W922" s="1933"/>
      <c r="X922" s="1933"/>
      <c r="Y922" s="1933"/>
      <c r="Z922" s="1933"/>
    </row>
    <row r="923" spans="1:26" ht="12" x14ac:dyDescent="0.2">
      <c r="A923" s="1933"/>
      <c r="B923" s="1933"/>
      <c r="C923" s="1933"/>
      <c r="D923" s="1933"/>
      <c r="E923" s="1933"/>
      <c r="F923" s="1933"/>
      <c r="G923" s="1934"/>
      <c r="H923" s="1933"/>
      <c r="I923" s="1933"/>
      <c r="J923" s="1933"/>
      <c r="K923" s="1933"/>
      <c r="L923" s="1933"/>
      <c r="M923" s="1933"/>
      <c r="N923" s="1933"/>
      <c r="O923" s="1933"/>
      <c r="P923" s="1933"/>
      <c r="Q923" s="1933"/>
      <c r="R923" s="1933"/>
      <c r="S923" s="1933"/>
      <c r="T923" s="1933"/>
      <c r="U923" s="1933"/>
      <c r="V923" s="1933"/>
      <c r="W923" s="1933"/>
      <c r="X923" s="1933"/>
      <c r="Y923" s="1933"/>
      <c r="Z923" s="1933"/>
    </row>
    <row r="924" spans="1:26" ht="12" x14ac:dyDescent="0.2">
      <c r="A924" s="1933"/>
      <c r="B924" s="1933"/>
      <c r="C924" s="1933"/>
      <c r="D924" s="1933"/>
      <c r="E924" s="1933"/>
      <c r="F924" s="1933"/>
      <c r="G924" s="1934"/>
      <c r="H924" s="1933"/>
      <c r="I924" s="1933"/>
      <c r="J924" s="1933"/>
      <c r="K924" s="1933"/>
      <c r="L924" s="1933"/>
      <c r="M924" s="1933"/>
      <c r="N924" s="1933"/>
      <c r="O924" s="1933"/>
      <c r="P924" s="1933"/>
      <c r="Q924" s="1933"/>
      <c r="R924" s="1933"/>
      <c r="S924" s="1933"/>
      <c r="T924" s="1933"/>
      <c r="U924" s="1933"/>
      <c r="V924" s="1933"/>
      <c r="W924" s="1933"/>
      <c r="X924" s="1933"/>
      <c r="Y924" s="1933"/>
      <c r="Z924" s="1933"/>
    </row>
    <row r="925" spans="1:26" ht="12" x14ac:dyDescent="0.2">
      <c r="A925" s="1933"/>
      <c r="B925" s="1933"/>
      <c r="C925" s="1933"/>
      <c r="D925" s="1933"/>
      <c r="E925" s="1933"/>
      <c r="F925" s="1933"/>
      <c r="G925" s="1934"/>
      <c r="H925" s="1933"/>
      <c r="I925" s="1933"/>
      <c r="J925" s="1933"/>
      <c r="K925" s="1933"/>
      <c r="L925" s="1933"/>
      <c r="M925" s="1933"/>
      <c r="N925" s="1933"/>
      <c r="O925" s="1933"/>
      <c r="P925" s="1933"/>
      <c r="Q925" s="1933"/>
      <c r="R925" s="1933"/>
      <c r="S925" s="1933"/>
      <c r="T925" s="1933"/>
      <c r="U925" s="1933"/>
      <c r="V925" s="1933"/>
      <c r="W925" s="1933"/>
      <c r="X925" s="1933"/>
      <c r="Y925" s="1933"/>
      <c r="Z925" s="1933"/>
    </row>
    <row r="926" spans="1:26" ht="12" x14ac:dyDescent="0.2">
      <c r="A926" s="1933"/>
      <c r="B926" s="1933"/>
      <c r="C926" s="1933"/>
      <c r="D926" s="1933"/>
      <c r="E926" s="1933"/>
      <c r="F926" s="1933"/>
      <c r="G926" s="1934"/>
      <c r="H926" s="1933"/>
      <c r="I926" s="1933"/>
      <c r="J926" s="1933"/>
      <c r="K926" s="1933"/>
      <c r="L926" s="1933"/>
      <c r="M926" s="1933"/>
      <c r="N926" s="1933"/>
      <c r="O926" s="1933"/>
      <c r="P926" s="1933"/>
      <c r="Q926" s="1933"/>
      <c r="R926" s="1933"/>
      <c r="S926" s="1933"/>
      <c r="T926" s="1933"/>
      <c r="U926" s="1933"/>
      <c r="V926" s="1933"/>
      <c r="W926" s="1933"/>
      <c r="X926" s="1933"/>
      <c r="Y926" s="1933"/>
      <c r="Z926" s="1933"/>
    </row>
    <row r="927" spans="1:26" ht="12" x14ac:dyDescent="0.2">
      <c r="A927" s="1933"/>
      <c r="B927" s="1933"/>
      <c r="C927" s="1933"/>
      <c r="D927" s="1933"/>
      <c r="E927" s="1933"/>
      <c r="F927" s="1933"/>
      <c r="G927" s="1934"/>
      <c r="H927" s="1933"/>
      <c r="I927" s="1933"/>
      <c r="J927" s="1933"/>
      <c r="K927" s="1933"/>
      <c r="L927" s="1933"/>
      <c r="M927" s="1933"/>
      <c r="N927" s="1933"/>
      <c r="O927" s="1933"/>
      <c r="P927" s="1933"/>
      <c r="Q927" s="1933"/>
      <c r="R927" s="1933"/>
      <c r="S927" s="1933"/>
      <c r="T927" s="1933"/>
      <c r="U927" s="1933"/>
      <c r="V927" s="1933"/>
      <c r="W927" s="1933"/>
      <c r="X927" s="1933"/>
      <c r="Y927" s="1933"/>
      <c r="Z927" s="1933"/>
    </row>
    <row r="928" spans="1:26" ht="12" x14ac:dyDescent="0.2">
      <c r="A928" s="1933"/>
      <c r="B928" s="1933"/>
      <c r="C928" s="1933"/>
      <c r="D928" s="1933"/>
      <c r="E928" s="1933"/>
      <c r="F928" s="1933"/>
      <c r="G928" s="1934"/>
      <c r="H928" s="1933"/>
      <c r="I928" s="1933"/>
      <c r="J928" s="1933"/>
      <c r="K928" s="1933"/>
      <c r="L928" s="1933"/>
      <c r="M928" s="1933"/>
      <c r="N928" s="1933"/>
      <c r="O928" s="1933"/>
      <c r="P928" s="1933"/>
      <c r="Q928" s="1933"/>
      <c r="R928" s="1933"/>
      <c r="S928" s="1933"/>
      <c r="T928" s="1933"/>
      <c r="U928" s="1933"/>
      <c r="V928" s="1933"/>
      <c r="W928" s="1933"/>
      <c r="X928" s="1933"/>
      <c r="Y928" s="1933"/>
      <c r="Z928" s="1933"/>
    </row>
    <row r="929" spans="1:26" ht="12" x14ac:dyDescent="0.2">
      <c r="A929" s="1933"/>
      <c r="B929" s="1933"/>
      <c r="C929" s="1933"/>
      <c r="D929" s="1933"/>
      <c r="E929" s="1933"/>
      <c r="F929" s="1933"/>
      <c r="G929" s="1934"/>
      <c r="H929" s="1933"/>
      <c r="I929" s="1933"/>
      <c r="J929" s="1933"/>
      <c r="K929" s="1933"/>
      <c r="L929" s="1933"/>
      <c r="M929" s="1933"/>
      <c r="N929" s="1933"/>
      <c r="O929" s="1933"/>
      <c r="P929" s="1933"/>
      <c r="Q929" s="1933"/>
      <c r="R929" s="1933"/>
      <c r="S929" s="1933"/>
      <c r="T929" s="1933"/>
      <c r="U929" s="1933"/>
      <c r="V929" s="1933"/>
      <c r="W929" s="1933"/>
      <c r="X929" s="1933"/>
      <c r="Y929" s="1933"/>
      <c r="Z929" s="1933"/>
    </row>
    <row r="930" spans="1:26" ht="12" x14ac:dyDescent="0.2">
      <c r="A930" s="1933"/>
      <c r="B930" s="1933"/>
      <c r="C930" s="1933"/>
      <c r="D930" s="1933"/>
      <c r="E930" s="1933"/>
      <c r="F930" s="1933"/>
      <c r="G930" s="1934"/>
      <c r="H930" s="1933"/>
      <c r="I930" s="1933"/>
      <c r="J930" s="1933"/>
      <c r="K930" s="1933"/>
      <c r="L930" s="1933"/>
      <c r="M930" s="1933"/>
      <c r="N930" s="1933"/>
      <c r="O930" s="1933"/>
      <c r="P930" s="1933"/>
      <c r="Q930" s="1933"/>
      <c r="R930" s="1933"/>
      <c r="S930" s="1933"/>
      <c r="T930" s="1933"/>
      <c r="U930" s="1933"/>
      <c r="V930" s="1933"/>
      <c r="W930" s="1933"/>
      <c r="X930" s="1933"/>
      <c r="Y930" s="1933"/>
      <c r="Z930" s="1933"/>
    </row>
    <row r="931" spans="1:26" ht="12" x14ac:dyDescent="0.2">
      <c r="A931" s="1933"/>
      <c r="B931" s="1933"/>
      <c r="C931" s="1933"/>
      <c r="D931" s="1933"/>
      <c r="E931" s="1933"/>
      <c r="F931" s="1933"/>
      <c r="G931" s="1934"/>
      <c r="H931" s="1933"/>
      <c r="I931" s="1933"/>
      <c r="J931" s="1933"/>
      <c r="K931" s="1933"/>
      <c r="L931" s="1933"/>
      <c r="M931" s="1933"/>
      <c r="N931" s="1933"/>
      <c r="O931" s="1933"/>
      <c r="P931" s="1933"/>
      <c r="Q931" s="1933"/>
      <c r="R931" s="1933"/>
      <c r="S931" s="1933"/>
      <c r="T931" s="1933"/>
      <c r="U931" s="1933"/>
      <c r="V931" s="1933"/>
      <c r="W931" s="1933"/>
      <c r="X931" s="1933"/>
      <c r="Y931" s="1933"/>
      <c r="Z931" s="1933"/>
    </row>
    <row r="932" spans="1:26" ht="12" x14ac:dyDescent="0.2">
      <c r="A932" s="1933"/>
      <c r="B932" s="1933"/>
      <c r="C932" s="1933"/>
      <c r="D932" s="1933"/>
      <c r="E932" s="1933"/>
      <c r="F932" s="1933"/>
      <c r="G932" s="1934"/>
      <c r="H932" s="1933"/>
      <c r="I932" s="1933"/>
      <c r="J932" s="1933"/>
      <c r="K932" s="1933"/>
      <c r="L932" s="1933"/>
      <c r="M932" s="1933"/>
      <c r="N932" s="1933"/>
      <c r="O932" s="1933"/>
      <c r="P932" s="1933"/>
      <c r="Q932" s="1933"/>
      <c r="R932" s="1933"/>
      <c r="S932" s="1933"/>
      <c r="T932" s="1933"/>
      <c r="U932" s="1933"/>
      <c r="V932" s="1933"/>
      <c r="W932" s="1933"/>
      <c r="X932" s="1933"/>
      <c r="Y932" s="1933"/>
      <c r="Z932" s="1933"/>
    </row>
    <row r="933" spans="1:26" ht="12" x14ac:dyDescent="0.2">
      <c r="A933" s="1933"/>
      <c r="B933" s="1933"/>
      <c r="C933" s="1933"/>
      <c r="D933" s="1933"/>
      <c r="E933" s="1933"/>
      <c r="F933" s="1933"/>
      <c r="G933" s="1934"/>
      <c r="H933" s="1933"/>
      <c r="I933" s="1933"/>
      <c r="J933" s="1933"/>
      <c r="K933" s="1933"/>
      <c r="L933" s="1933"/>
      <c r="M933" s="1933"/>
      <c r="N933" s="1933"/>
      <c r="O933" s="1933"/>
      <c r="P933" s="1933"/>
      <c r="Q933" s="1933"/>
      <c r="R933" s="1933"/>
      <c r="S933" s="1933"/>
      <c r="T933" s="1933"/>
      <c r="U933" s="1933"/>
      <c r="V933" s="1933"/>
      <c r="W933" s="1933"/>
      <c r="X933" s="1933"/>
      <c r="Y933" s="1933"/>
      <c r="Z933" s="1933"/>
    </row>
    <row r="934" spans="1:26" ht="12" x14ac:dyDescent="0.2">
      <c r="A934" s="1933"/>
      <c r="B934" s="1933"/>
      <c r="C934" s="1933"/>
      <c r="D934" s="1933"/>
      <c r="E934" s="1933"/>
      <c r="F934" s="1933"/>
      <c r="G934" s="1934"/>
      <c r="H934" s="1933"/>
      <c r="I934" s="1933"/>
      <c r="J934" s="1933"/>
      <c r="K934" s="1933"/>
      <c r="L934" s="1933"/>
      <c r="M934" s="1933"/>
      <c r="N934" s="1933"/>
      <c r="O934" s="1933"/>
      <c r="P934" s="1933"/>
      <c r="Q934" s="1933"/>
      <c r="R934" s="1933"/>
      <c r="S934" s="1933"/>
      <c r="T934" s="1933"/>
      <c r="U934" s="1933"/>
      <c r="V934" s="1933"/>
      <c r="W934" s="1933"/>
      <c r="X934" s="1933"/>
      <c r="Y934" s="1933"/>
      <c r="Z934" s="1933"/>
    </row>
    <row r="935" spans="1:26" ht="12" x14ac:dyDescent="0.2">
      <c r="A935" s="1933"/>
      <c r="B935" s="1933"/>
      <c r="C935" s="1933"/>
      <c r="D935" s="1933"/>
      <c r="E935" s="1933"/>
      <c r="F935" s="1933"/>
      <c r="G935" s="1934"/>
      <c r="H935" s="1933"/>
      <c r="I935" s="1933"/>
      <c r="J935" s="1933"/>
      <c r="K935" s="1933"/>
      <c r="L935" s="1933"/>
      <c r="M935" s="1933"/>
      <c r="N935" s="1933"/>
      <c r="O935" s="1933"/>
      <c r="P935" s="1933"/>
      <c r="Q935" s="1933"/>
      <c r="R935" s="1933"/>
      <c r="S935" s="1933"/>
      <c r="T935" s="1933"/>
      <c r="U935" s="1933"/>
      <c r="V935" s="1933"/>
      <c r="W935" s="1933"/>
      <c r="X935" s="1933"/>
      <c r="Y935" s="1933"/>
      <c r="Z935" s="1933"/>
    </row>
    <row r="936" spans="1:26" ht="12" x14ac:dyDescent="0.2">
      <c r="A936" s="1933"/>
      <c r="B936" s="1933"/>
      <c r="C936" s="1933"/>
      <c r="D936" s="1933"/>
      <c r="E936" s="1933"/>
      <c r="F936" s="1933"/>
      <c r="G936" s="1934"/>
      <c r="H936" s="1933"/>
      <c r="I936" s="1933"/>
      <c r="J936" s="1933"/>
      <c r="K936" s="1933"/>
      <c r="L936" s="1933"/>
      <c r="M936" s="1933"/>
      <c r="N936" s="1933"/>
      <c r="O936" s="1933"/>
      <c r="P936" s="1933"/>
      <c r="Q936" s="1933"/>
      <c r="R936" s="1933"/>
      <c r="S936" s="1933"/>
      <c r="T936" s="1933"/>
      <c r="U936" s="1933"/>
      <c r="V936" s="1933"/>
      <c r="W936" s="1933"/>
      <c r="X936" s="1933"/>
      <c r="Y936" s="1933"/>
      <c r="Z936" s="1933"/>
    </row>
    <row r="937" spans="1:26" ht="12" x14ac:dyDescent="0.2">
      <c r="A937" s="1933"/>
      <c r="B937" s="1933"/>
      <c r="C937" s="1933"/>
      <c r="D937" s="1933"/>
      <c r="E937" s="1933"/>
      <c r="F937" s="1933"/>
      <c r="G937" s="1934"/>
      <c r="H937" s="1933"/>
      <c r="I937" s="1933"/>
      <c r="J937" s="1933"/>
      <c r="K937" s="1933"/>
      <c r="L937" s="1933"/>
      <c r="M937" s="1933"/>
      <c r="N937" s="1933"/>
      <c r="O937" s="1933"/>
      <c r="P937" s="1933"/>
      <c r="Q937" s="1933"/>
      <c r="R937" s="1933"/>
      <c r="S937" s="1933"/>
      <c r="T937" s="1933"/>
      <c r="U937" s="1933"/>
      <c r="V937" s="1933"/>
      <c r="W937" s="1933"/>
      <c r="X937" s="1933"/>
      <c r="Y937" s="1933"/>
      <c r="Z937" s="1933"/>
    </row>
    <row r="938" spans="1:26" ht="12" x14ac:dyDescent="0.2">
      <c r="A938" s="1933"/>
      <c r="B938" s="1933"/>
      <c r="C938" s="1933"/>
      <c r="D938" s="1933"/>
      <c r="E938" s="1933"/>
      <c r="F938" s="1933"/>
      <c r="G938" s="1934"/>
      <c r="H938" s="1933"/>
      <c r="I938" s="1933"/>
      <c r="J938" s="1933"/>
      <c r="K938" s="1933"/>
      <c r="L938" s="1933"/>
      <c r="M938" s="1933"/>
      <c r="N938" s="1933"/>
      <c r="O938" s="1933"/>
      <c r="P938" s="1933"/>
      <c r="Q938" s="1933"/>
      <c r="R938" s="1933"/>
      <c r="S938" s="1933"/>
      <c r="T938" s="1933"/>
      <c r="U938" s="1933"/>
      <c r="V938" s="1933"/>
      <c r="W938" s="1933"/>
      <c r="X938" s="1933"/>
      <c r="Y938" s="1933"/>
      <c r="Z938" s="1933"/>
    </row>
    <row r="939" spans="1:26" ht="12" x14ac:dyDescent="0.2">
      <c r="A939" s="1933"/>
      <c r="B939" s="1933"/>
      <c r="C939" s="1933"/>
      <c r="D939" s="1933"/>
      <c r="E939" s="1933"/>
      <c r="F939" s="1933"/>
      <c r="G939" s="1934"/>
      <c r="H939" s="1933"/>
      <c r="I939" s="1933"/>
      <c r="J939" s="1933"/>
      <c r="K939" s="1933"/>
      <c r="L939" s="1933"/>
      <c r="M939" s="1933"/>
      <c r="N939" s="1933"/>
      <c r="O939" s="1933"/>
      <c r="P939" s="1933"/>
      <c r="Q939" s="1933"/>
      <c r="R939" s="1933"/>
      <c r="S939" s="1933"/>
      <c r="T939" s="1933"/>
      <c r="U939" s="1933"/>
      <c r="V939" s="1933"/>
      <c r="W939" s="1933"/>
      <c r="X939" s="1933"/>
      <c r="Y939" s="1933"/>
      <c r="Z939" s="1933"/>
    </row>
    <row r="940" spans="1:26" ht="12" x14ac:dyDescent="0.2">
      <c r="A940" s="1933"/>
      <c r="B940" s="1933"/>
      <c r="C940" s="1933"/>
      <c r="D940" s="1933"/>
      <c r="E940" s="1933"/>
      <c r="F940" s="1933"/>
      <c r="G940" s="1934"/>
      <c r="H940" s="1933"/>
      <c r="I940" s="1933"/>
      <c r="J940" s="1933"/>
      <c r="K940" s="1933"/>
      <c r="L940" s="1933"/>
      <c r="M940" s="1933"/>
      <c r="N940" s="1933"/>
      <c r="O940" s="1933"/>
      <c r="P940" s="1933"/>
      <c r="Q940" s="1933"/>
      <c r="R940" s="1933"/>
      <c r="S940" s="1933"/>
      <c r="T940" s="1933"/>
      <c r="U940" s="1933"/>
      <c r="V940" s="1933"/>
      <c r="W940" s="1933"/>
      <c r="X940" s="1933"/>
      <c r="Y940" s="1933"/>
      <c r="Z940" s="1933"/>
    </row>
    <row r="941" spans="1:26" ht="12" x14ac:dyDescent="0.2">
      <c r="A941" s="1933"/>
      <c r="B941" s="1933"/>
      <c r="C941" s="1933"/>
      <c r="D941" s="1933"/>
      <c r="E941" s="1933"/>
      <c r="F941" s="1933"/>
      <c r="G941" s="1934"/>
      <c r="H941" s="1933"/>
      <c r="I941" s="1933"/>
      <c r="J941" s="1933"/>
      <c r="K941" s="1933"/>
      <c r="L941" s="1933"/>
      <c r="M941" s="1933"/>
      <c r="N941" s="1933"/>
      <c r="O941" s="1933"/>
      <c r="P941" s="1933"/>
      <c r="Q941" s="1933"/>
      <c r="R941" s="1933"/>
      <c r="S941" s="1933"/>
      <c r="T941" s="1933"/>
      <c r="U941" s="1933"/>
      <c r="V941" s="1933"/>
      <c r="W941" s="1933"/>
      <c r="X941" s="1933"/>
      <c r="Y941" s="1933"/>
      <c r="Z941" s="1933"/>
    </row>
    <row r="942" spans="1:26" ht="12" x14ac:dyDescent="0.2">
      <c r="A942" s="1933"/>
      <c r="B942" s="1933"/>
      <c r="C942" s="1933"/>
      <c r="D942" s="1933"/>
      <c r="E942" s="1933"/>
      <c r="F942" s="1933"/>
      <c r="G942" s="1934"/>
      <c r="H942" s="1933"/>
      <c r="I942" s="1933"/>
      <c r="J942" s="1933"/>
      <c r="K942" s="1933"/>
      <c r="L942" s="1933"/>
      <c r="M942" s="1933"/>
      <c r="N942" s="1933"/>
      <c r="O942" s="1933"/>
      <c r="P942" s="1933"/>
      <c r="Q942" s="1933"/>
      <c r="R942" s="1933"/>
      <c r="S942" s="1933"/>
      <c r="T942" s="1933"/>
      <c r="U942" s="1933"/>
      <c r="V942" s="1933"/>
      <c r="W942" s="1933"/>
      <c r="X942" s="1933"/>
      <c r="Y942" s="1933"/>
      <c r="Z942" s="1933"/>
    </row>
    <row r="943" spans="1:26" ht="12" x14ac:dyDescent="0.2">
      <c r="A943" s="1933"/>
      <c r="B943" s="1933"/>
      <c r="C943" s="1933"/>
      <c r="D943" s="1933"/>
      <c r="E943" s="1933"/>
      <c r="F943" s="1933"/>
      <c r="G943" s="1934"/>
      <c r="H943" s="1933"/>
      <c r="I943" s="1933"/>
      <c r="J943" s="1933"/>
      <c r="K943" s="1933"/>
      <c r="L943" s="1933"/>
      <c r="M943" s="1933"/>
      <c r="N943" s="1933"/>
      <c r="O943" s="1933"/>
      <c r="P943" s="1933"/>
      <c r="Q943" s="1933"/>
      <c r="R943" s="1933"/>
      <c r="S943" s="1933"/>
      <c r="T943" s="1933"/>
      <c r="U943" s="1933"/>
      <c r="V943" s="1933"/>
      <c r="W943" s="1933"/>
      <c r="X943" s="1933"/>
      <c r="Y943" s="1933"/>
      <c r="Z943" s="1933"/>
    </row>
    <row r="944" spans="1:26" ht="12" x14ac:dyDescent="0.2">
      <c r="A944" s="1933"/>
      <c r="B944" s="1933"/>
      <c r="C944" s="1933"/>
      <c r="D944" s="1933"/>
      <c r="E944" s="1933"/>
      <c r="F944" s="1933"/>
      <c r="G944" s="1934"/>
      <c r="H944" s="1933"/>
      <c r="I944" s="1933"/>
      <c r="J944" s="1933"/>
      <c r="K944" s="1933"/>
      <c r="L944" s="1933"/>
      <c r="M944" s="1933"/>
      <c r="N944" s="1933"/>
      <c r="O944" s="1933"/>
      <c r="P944" s="1933"/>
      <c r="Q944" s="1933"/>
      <c r="R944" s="1933"/>
      <c r="S944" s="1933"/>
      <c r="T944" s="1933"/>
      <c r="U944" s="1933"/>
      <c r="V944" s="1933"/>
      <c r="W944" s="1933"/>
      <c r="X944" s="1933"/>
      <c r="Y944" s="1933"/>
      <c r="Z944" s="1933"/>
    </row>
    <row r="945" spans="1:26" ht="12" x14ac:dyDescent="0.2">
      <c r="A945" s="1933"/>
      <c r="B945" s="1933"/>
      <c r="C945" s="1933"/>
      <c r="D945" s="1933"/>
      <c r="E945" s="1933"/>
      <c r="F945" s="1933"/>
      <c r="G945" s="1934"/>
      <c r="H945" s="1933"/>
      <c r="I945" s="1933"/>
      <c r="J945" s="1933"/>
      <c r="K945" s="1933"/>
      <c r="L945" s="1933"/>
      <c r="M945" s="1933"/>
      <c r="N945" s="1933"/>
      <c r="O945" s="1933"/>
      <c r="P945" s="1933"/>
      <c r="Q945" s="1933"/>
      <c r="R945" s="1933"/>
      <c r="S945" s="1933"/>
      <c r="T945" s="1933"/>
      <c r="U945" s="1933"/>
      <c r="V945" s="1933"/>
      <c r="W945" s="1933"/>
      <c r="X945" s="1933"/>
      <c r="Y945" s="1933"/>
      <c r="Z945" s="1933"/>
    </row>
    <row r="946" spans="1:26" ht="12" x14ac:dyDescent="0.2">
      <c r="A946" s="1933"/>
      <c r="B946" s="1933"/>
      <c r="C946" s="1933"/>
      <c r="D946" s="1933"/>
      <c r="E946" s="1933"/>
      <c r="F946" s="1933"/>
      <c r="G946" s="1934"/>
      <c r="H946" s="1933"/>
      <c r="I946" s="1933"/>
      <c r="J946" s="1933"/>
      <c r="K946" s="1933"/>
      <c r="L946" s="1933"/>
      <c r="M946" s="1933"/>
      <c r="N946" s="1933"/>
      <c r="O946" s="1933"/>
      <c r="P946" s="1933"/>
      <c r="Q946" s="1933"/>
      <c r="R946" s="1933"/>
      <c r="S946" s="1933"/>
      <c r="T946" s="1933"/>
      <c r="U946" s="1933"/>
      <c r="V946" s="1933"/>
      <c r="W946" s="1933"/>
      <c r="X946" s="1933"/>
      <c r="Y946" s="1933"/>
      <c r="Z946" s="1933"/>
    </row>
    <row r="947" spans="1:26" ht="12" x14ac:dyDescent="0.2">
      <c r="A947" s="1933"/>
      <c r="B947" s="1933"/>
      <c r="C947" s="1933"/>
      <c r="D947" s="1933"/>
      <c r="E947" s="1933"/>
      <c r="F947" s="1933"/>
      <c r="G947" s="1934"/>
      <c r="H947" s="1933"/>
      <c r="I947" s="1933"/>
      <c r="J947" s="1933"/>
      <c r="K947" s="1933"/>
      <c r="L947" s="1933"/>
      <c r="M947" s="1933"/>
      <c r="N947" s="1933"/>
      <c r="O947" s="1933"/>
      <c r="P947" s="1933"/>
      <c r="Q947" s="1933"/>
      <c r="R947" s="1933"/>
      <c r="S947" s="1933"/>
      <c r="T947" s="1933"/>
      <c r="U947" s="1933"/>
      <c r="V947" s="1933"/>
      <c r="W947" s="1933"/>
      <c r="X947" s="1933"/>
      <c r="Y947" s="1933"/>
      <c r="Z947" s="1933"/>
    </row>
    <row r="948" spans="1:26" ht="12" x14ac:dyDescent="0.2">
      <c r="A948" s="1933"/>
      <c r="B948" s="1933"/>
      <c r="C948" s="1933"/>
      <c r="D948" s="1933"/>
      <c r="E948" s="1933"/>
      <c r="F948" s="1933"/>
      <c r="G948" s="1934"/>
      <c r="H948" s="1933"/>
      <c r="I948" s="1933"/>
      <c r="J948" s="1933"/>
      <c r="K948" s="1933"/>
      <c r="L948" s="1933"/>
      <c r="M948" s="1933"/>
      <c r="N948" s="1933"/>
      <c r="O948" s="1933"/>
      <c r="P948" s="1933"/>
      <c r="Q948" s="1933"/>
      <c r="R948" s="1933"/>
      <c r="S948" s="1933"/>
      <c r="T948" s="1933"/>
      <c r="U948" s="1933"/>
      <c r="V948" s="1933"/>
      <c r="W948" s="1933"/>
      <c r="X948" s="1933"/>
      <c r="Y948" s="1933"/>
      <c r="Z948" s="1933"/>
    </row>
    <row r="949" spans="1:26" ht="12" x14ac:dyDescent="0.2">
      <c r="A949" s="1933"/>
      <c r="B949" s="1933"/>
      <c r="C949" s="1933"/>
      <c r="D949" s="1933"/>
      <c r="E949" s="1933"/>
      <c r="F949" s="1933"/>
      <c r="G949" s="1934"/>
      <c r="H949" s="1933"/>
      <c r="I949" s="1933"/>
      <c r="J949" s="1933"/>
      <c r="K949" s="1933"/>
      <c r="L949" s="1933"/>
      <c r="M949" s="1933"/>
      <c r="N949" s="1933"/>
      <c r="O949" s="1933"/>
      <c r="P949" s="1933"/>
      <c r="Q949" s="1933"/>
      <c r="R949" s="1933"/>
      <c r="S949" s="1933"/>
      <c r="T949" s="1933"/>
      <c r="U949" s="1933"/>
      <c r="V949" s="1933"/>
      <c r="W949" s="1933"/>
      <c r="X949" s="1933"/>
      <c r="Y949" s="1933"/>
      <c r="Z949" s="1933"/>
    </row>
    <row r="950" spans="1:26" ht="12" x14ac:dyDescent="0.2">
      <c r="A950" s="1933"/>
      <c r="B950" s="1933"/>
      <c r="C950" s="1933"/>
      <c r="D950" s="1933"/>
      <c r="E950" s="1933"/>
      <c r="F950" s="1933"/>
      <c r="G950" s="1934"/>
      <c r="H950" s="1933"/>
      <c r="I950" s="1933"/>
      <c r="J950" s="1933"/>
      <c r="K950" s="1933"/>
      <c r="L950" s="1933"/>
      <c r="M950" s="1933"/>
      <c r="N950" s="1933"/>
      <c r="O950" s="1933"/>
      <c r="P950" s="1933"/>
      <c r="Q950" s="1933"/>
      <c r="R950" s="1933"/>
      <c r="S950" s="1933"/>
      <c r="T950" s="1933"/>
      <c r="U950" s="1933"/>
      <c r="V950" s="1933"/>
      <c r="W950" s="1933"/>
      <c r="X950" s="1933"/>
      <c r="Y950" s="1933"/>
      <c r="Z950" s="1933"/>
    </row>
    <row r="951" spans="1:26" ht="12" x14ac:dyDescent="0.2">
      <c r="A951" s="1933"/>
      <c r="B951" s="1933"/>
      <c r="C951" s="1933"/>
      <c r="D951" s="1933"/>
      <c r="E951" s="1933"/>
      <c r="F951" s="1933"/>
      <c r="G951" s="1934"/>
      <c r="H951" s="1933"/>
      <c r="I951" s="1933"/>
      <c r="J951" s="1933"/>
      <c r="K951" s="1933"/>
      <c r="L951" s="1933"/>
      <c r="M951" s="1933"/>
      <c r="N951" s="1933"/>
      <c r="O951" s="1933"/>
      <c r="P951" s="1933"/>
      <c r="Q951" s="1933"/>
      <c r="R951" s="1933"/>
      <c r="S951" s="1933"/>
      <c r="T951" s="1933"/>
      <c r="U951" s="1933"/>
      <c r="V951" s="1933"/>
      <c r="W951" s="1933"/>
      <c r="X951" s="1933"/>
      <c r="Y951" s="1933"/>
      <c r="Z951" s="1933"/>
    </row>
    <row r="952" spans="1:26" ht="12" x14ac:dyDescent="0.2">
      <c r="A952" s="1933"/>
      <c r="B952" s="1933"/>
      <c r="C952" s="1933"/>
      <c r="D952" s="1933"/>
      <c r="E952" s="1933"/>
      <c r="F952" s="1933"/>
      <c r="G952" s="1934"/>
      <c r="H952" s="1933"/>
      <c r="I952" s="1933"/>
      <c r="J952" s="1933"/>
      <c r="K952" s="1933"/>
      <c r="L952" s="1933"/>
      <c r="M952" s="1933"/>
      <c r="N952" s="1933"/>
      <c r="O952" s="1933"/>
      <c r="P952" s="1933"/>
      <c r="Q952" s="1933"/>
      <c r="R952" s="1933"/>
      <c r="S952" s="1933"/>
      <c r="T952" s="1933"/>
      <c r="U952" s="1933"/>
      <c r="V952" s="1933"/>
      <c r="W952" s="1933"/>
      <c r="X952" s="1933"/>
      <c r="Y952" s="1933"/>
      <c r="Z952" s="1933"/>
    </row>
    <row r="953" spans="1:26" ht="12" x14ac:dyDescent="0.2">
      <c r="A953" s="1933"/>
      <c r="B953" s="1933"/>
      <c r="C953" s="1933"/>
      <c r="D953" s="1933"/>
      <c r="E953" s="1933"/>
      <c r="F953" s="1933"/>
      <c r="G953" s="1934"/>
      <c r="H953" s="1933"/>
      <c r="I953" s="1933"/>
      <c r="J953" s="1933"/>
      <c r="K953" s="1933"/>
      <c r="L953" s="1933"/>
      <c r="M953" s="1933"/>
      <c r="N953" s="1933"/>
      <c r="O953" s="1933"/>
      <c r="P953" s="1933"/>
      <c r="Q953" s="1933"/>
      <c r="R953" s="1933"/>
      <c r="S953" s="1933"/>
      <c r="T953" s="1933"/>
      <c r="U953" s="1933"/>
      <c r="V953" s="1933"/>
      <c r="W953" s="1933"/>
      <c r="X953" s="1933"/>
      <c r="Y953" s="1933"/>
      <c r="Z953" s="1933"/>
    </row>
    <row r="954" spans="1:26" ht="12" x14ac:dyDescent="0.2">
      <c r="A954" s="1933"/>
      <c r="B954" s="1933"/>
      <c r="C954" s="1933"/>
      <c r="D954" s="1933"/>
      <c r="E954" s="1933"/>
      <c r="F954" s="1933"/>
      <c r="G954" s="1934"/>
      <c r="H954" s="1933"/>
      <c r="I954" s="1933"/>
      <c r="J954" s="1933"/>
      <c r="K954" s="1933"/>
      <c r="L954" s="1933"/>
      <c r="M954" s="1933"/>
      <c r="N954" s="1933"/>
      <c r="O954" s="1933"/>
      <c r="P954" s="1933"/>
      <c r="Q954" s="1933"/>
      <c r="R954" s="1933"/>
      <c r="S954" s="1933"/>
      <c r="T954" s="1933"/>
      <c r="U954" s="1933"/>
      <c r="V954" s="1933"/>
      <c r="W954" s="1933"/>
      <c r="X954" s="1933"/>
      <c r="Y954" s="1933"/>
      <c r="Z954" s="1933"/>
    </row>
    <row r="955" spans="1:26" ht="12" x14ac:dyDescent="0.2">
      <c r="A955" s="1933"/>
      <c r="B955" s="1933"/>
      <c r="C955" s="1933"/>
      <c r="D955" s="1933"/>
      <c r="E955" s="1933"/>
      <c r="F955" s="1933"/>
      <c r="G955" s="1934"/>
      <c r="H955" s="1933"/>
      <c r="I955" s="1933"/>
      <c r="J955" s="1933"/>
      <c r="K955" s="1933"/>
      <c r="L955" s="1933"/>
      <c r="M955" s="1933"/>
      <c r="N955" s="1933"/>
      <c r="O955" s="1933"/>
      <c r="P955" s="1933"/>
      <c r="Q955" s="1933"/>
      <c r="R955" s="1933"/>
      <c r="S955" s="1933"/>
      <c r="T955" s="1933"/>
      <c r="U955" s="1933"/>
      <c r="V955" s="1933"/>
      <c r="W955" s="1933"/>
      <c r="X955" s="1933"/>
      <c r="Y955" s="1933"/>
      <c r="Z955" s="1933"/>
    </row>
    <row r="956" spans="1:26" ht="12" x14ac:dyDescent="0.2">
      <c r="A956" s="1933"/>
      <c r="B956" s="1933"/>
      <c r="C956" s="1933"/>
      <c r="D956" s="1933"/>
      <c r="E956" s="1933"/>
      <c r="F956" s="1933"/>
      <c r="G956" s="1934"/>
      <c r="H956" s="1933"/>
      <c r="I956" s="1933"/>
      <c r="J956" s="1933"/>
      <c r="K956" s="1933"/>
      <c r="L956" s="1933"/>
      <c r="M956" s="1933"/>
      <c r="N956" s="1933"/>
      <c r="O956" s="1933"/>
      <c r="P956" s="1933"/>
      <c r="Q956" s="1933"/>
      <c r="R956" s="1933"/>
      <c r="S956" s="1933"/>
      <c r="T956" s="1933"/>
      <c r="U956" s="1933"/>
      <c r="V956" s="1933"/>
      <c r="W956" s="1933"/>
      <c r="X956" s="1933"/>
      <c r="Y956" s="1933"/>
      <c r="Z956" s="1933"/>
    </row>
    <row r="957" spans="1:26" ht="12" x14ac:dyDescent="0.2">
      <c r="A957" s="1933"/>
      <c r="B957" s="1933"/>
      <c r="C957" s="1933"/>
      <c r="D957" s="1933"/>
      <c r="E957" s="1933"/>
      <c r="F957" s="1933"/>
      <c r="G957" s="1937"/>
      <c r="J957" s="1933"/>
      <c r="K957" s="1933"/>
      <c r="L957" s="1933"/>
      <c r="M957" s="1933"/>
      <c r="N957" s="1933"/>
      <c r="O957" s="1933"/>
      <c r="P957" s="1933"/>
      <c r="Q957" s="1933"/>
      <c r="R957" s="1933"/>
      <c r="S957" s="1933"/>
      <c r="T957" s="1933"/>
      <c r="U957" s="1933"/>
      <c r="V957" s="1933"/>
      <c r="W957" s="1933"/>
      <c r="X957" s="1933"/>
      <c r="Y957" s="1933"/>
      <c r="Z957" s="1933"/>
    </row>
    <row r="958" spans="1:26" ht="12" x14ac:dyDescent="0.2">
      <c r="A958" s="1933"/>
      <c r="B958" s="1933"/>
      <c r="C958" s="1933"/>
      <c r="D958" s="1933"/>
      <c r="E958" s="1933"/>
      <c r="F958" s="1933"/>
      <c r="G958" s="1937"/>
      <c r="J958" s="1933"/>
      <c r="K958" s="1933"/>
      <c r="L958" s="1933"/>
      <c r="M958" s="1933"/>
      <c r="N958" s="1933"/>
      <c r="O958" s="1933"/>
      <c r="P958" s="1933"/>
      <c r="Q958" s="1933"/>
      <c r="R958" s="1933"/>
      <c r="S958" s="1933"/>
      <c r="T958" s="1933"/>
      <c r="U958" s="1933"/>
      <c r="V958" s="1933"/>
      <c r="W958" s="1933"/>
      <c r="X958" s="1933"/>
      <c r="Y958" s="1933"/>
      <c r="Z958" s="1933"/>
    </row>
    <row r="959" spans="1:26" ht="12" x14ac:dyDescent="0.2">
      <c r="A959" s="1933"/>
      <c r="B959" s="1933"/>
      <c r="C959" s="1933"/>
      <c r="D959" s="1933"/>
      <c r="E959" s="1933"/>
      <c r="F959" s="1933"/>
      <c r="G959" s="1937"/>
      <c r="J959" s="1933"/>
      <c r="K959" s="1933"/>
      <c r="L959" s="1933"/>
      <c r="M959" s="1933"/>
      <c r="N959" s="1933"/>
      <c r="O959" s="1933"/>
      <c r="P959" s="1933"/>
      <c r="Q959" s="1933"/>
      <c r="R959" s="1933"/>
      <c r="S959" s="1933"/>
      <c r="T959" s="1933"/>
      <c r="U959" s="1933"/>
      <c r="V959" s="1933"/>
      <c r="W959" s="1933"/>
      <c r="X959" s="1933"/>
      <c r="Y959" s="1933"/>
      <c r="Z959" s="193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6D3471F7F04449211EBF97CCD3EEF" ma:contentTypeVersion="11" ma:contentTypeDescription="Create a new document." ma:contentTypeScope="" ma:versionID="1fa121f0f7dadc83016221ac4c0a73d5">
  <xsd:schema xmlns:xsd="http://www.w3.org/2001/XMLSchema" xmlns:xs="http://www.w3.org/2001/XMLSchema" xmlns:p="http://schemas.microsoft.com/office/2006/metadata/properties" xmlns:ns1="http://schemas.microsoft.com/sharepoint/v3" targetNamespace="http://schemas.microsoft.com/office/2006/metadata/properties" ma:root="true" ma:fieldsID="0f1c3a5fe40b69cf375f6490498fc6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55BB3E5-DAA9-4A75-BD89-AA89CB24250B}"/>
</file>

<file path=customXml/itemProps2.xml><?xml version="1.0" encoding="utf-8"?>
<ds:datastoreItem xmlns:ds="http://schemas.openxmlformats.org/officeDocument/2006/customXml" ds:itemID="{8F449A9E-9D9B-40E1-B63B-DA5272CB76AB}"/>
</file>

<file path=customXml/itemProps3.xml><?xml version="1.0" encoding="utf-8"?>
<ds:datastoreItem xmlns:ds="http://schemas.openxmlformats.org/officeDocument/2006/customXml" ds:itemID="{691E8A85-E9B8-4862-8EEC-B71BD3F791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Summary</vt:lpstr>
      <vt:lpstr>EGU Production RGGI Units</vt:lpstr>
      <vt:lpstr>EGU Production Non-RGGI Units</vt:lpstr>
      <vt:lpstr>Imported Electricity</vt:lpstr>
      <vt:lpstr>Residential</vt:lpstr>
      <vt:lpstr>Commercial</vt:lpstr>
      <vt:lpstr>Industrial</vt:lpstr>
      <vt:lpstr>Transportation</vt:lpstr>
      <vt:lpstr>Natural Gas and Oil</vt:lpstr>
      <vt:lpstr>Mining</vt:lpstr>
      <vt:lpstr>Cement</vt:lpstr>
      <vt:lpstr>LimeT&amp;DSoda</vt:lpstr>
      <vt:lpstr>ODSSubs 100-yr</vt:lpstr>
      <vt:lpstr>ODSSubs 20-yr</vt:lpstr>
      <vt:lpstr>Iron And Steel</vt:lpstr>
      <vt:lpstr>Ammonia &amp; Urea Consumption</vt:lpstr>
      <vt:lpstr>Agricultural</vt:lpstr>
      <vt:lpstr>Agriculture_Liming</vt:lpstr>
      <vt:lpstr>Incinerators</vt:lpstr>
      <vt:lpstr>Landfills</vt:lpstr>
      <vt:lpstr>Wastewater</vt:lpstr>
      <vt:lpstr>OpenBurn</vt:lpstr>
      <vt:lpstr>Land_Use</vt:lpstr>
      <vt:lpstr>long_format_output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Abdulrahman Mohammed</dc:creator>
  <cp:lastModifiedBy>Vimal M Amin -MDE-</cp:lastModifiedBy>
  <dcterms:created xsi:type="dcterms:W3CDTF">2023-02-21T17:43:33Z</dcterms:created>
  <dcterms:modified xsi:type="dcterms:W3CDTF">2026-09-22T21:07:22Z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0x010100D5E6D3471F7F04449211EBF97CCD3EEF</vt:lpwstr>
  </property>
</Properties>
</file>