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pemmart\Desktop\_Telework\CBRAP\_CBRAP3 Year4 Info\CBRAP 3_Year 4_Workplans_28Jul2021\Work with Tetra Tech #18\Changes to MD FFIT\"/>
    </mc:Choice>
  </mc:AlternateContent>
  <xr:revisionPtr revIDLastSave="0" documentId="8_{DD40F409-5C96-471E-8FDB-D7BB7E518865}" xr6:coauthVersionLast="47" xr6:coauthVersionMax="47" xr10:uidLastSave="{00000000-0000-0000-0000-000000000000}"/>
  <bookViews>
    <workbookView xWindow="-110" yWindow="-110" windowWidth="19420" windowHeight="10420" tabRatio="796" xr2:uid="{00000000-000D-0000-FFFF-FFFF00000000}"/>
  </bookViews>
  <sheets>
    <sheet name="User Interface" sheetId="15" r:id="rId1"/>
    <sheet name="RFB Benefits - Costs" sheetId="17" r:id="rId2"/>
    <sheet name="Notes" sheetId="20" r:id="rId3"/>
    <sheet name="MD IPPS" sheetId="19" r:id="rId4"/>
    <sheet name="RFB MS4 Credits" sheetId="18" r:id="rId5"/>
    <sheet name="Example Project Budget" sheetId="16" r:id="rId6"/>
  </sheets>
  <definedNames>
    <definedName name="_xlnm.Print_Area" localSheetId="0">'User Interface'!$A$1:$O$81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9" i="15" l="1"/>
  <c r="K38" i="15"/>
  <c r="K37" i="15"/>
  <c r="K36" i="15"/>
  <c r="K32" i="15"/>
  <c r="K11" i="15"/>
  <c r="E29" i="20" l="1"/>
  <c r="O5" i="17"/>
  <c r="O4" i="17"/>
  <c r="G5" i="17"/>
  <c r="G4" i="17"/>
  <c r="I16" i="19" l="1"/>
  <c r="C16" i="19"/>
  <c r="C15" i="19"/>
  <c r="I15" i="19" s="1"/>
  <c r="I14" i="19"/>
  <c r="C14" i="19"/>
  <c r="C13" i="19"/>
  <c r="I13" i="19" s="1"/>
  <c r="C12" i="19"/>
  <c r="I12" i="19" s="1"/>
  <c r="I18" i="19" s="1"/>
  <c r="C8" i="19"/>
  <c r="I6" i="19"/>
  <c r="I5" i="19"/>
  <c r="I8" i="19" s="1"/>
  <c r="I4" i="19"/>
  <c r="I3" i="19"/>
  <c r="I2" i="19"/>
  <c r="C18" i="19" l="1"/>
  <c r="C62" i="15" l="1"/>
  <c r="I28" i="17" l="1"/>
  <c r="I10" i="17"/>
  <c r="A28" i="17"/>
  <c r="B28" i="17" l="1"/>
  <c r="A10" i="17"/>
  <c r="K4" i="17"/>
  <c r="J4" i="17"/>
  <c r="I4" i="17"/>
  <c r="C4" i="17"/>
  <c r="B4" i="17"/>
  <c r="A4" i="17"/>
  <c r="J28" i="17"/>
  <c r="C5" i="17" l="1"/>
  <c r="A19" i="17" s="1"/>
  <c r="K5" i="17"/>
  <c r="I19" i="17" s="1"/>
  <c r="B29" i="17"/>
  <c r="K62" i="15" s="1"/>
  <c r="B30" i="17"/>
  <c r="L62" i="15" s="1"/>
  <c r="C28" i="17"/>
  <c r="B5" i="17"/>
  <c r="A12" i="17" s="1"/>
  <c r="B22" i="17" s="1"/>
  <c r="J30" i="17"/>
  <c r="J29" i="17"/>
  <c r="J5" i="17"/>
  <c r="N5" i="17" s="1"/>
  <c r="K28" i="17"/>
  <c r="K35" i="15"/>
  <c r="K34" i="15"/>
  <c r="D12" i="17" l="1"/>
  <c r="E22" i="17" s="1"/>
  <c r="J19" i="17"/>
  <c r="F4" i="17"/>
  <c r="C60" i="15" s="1"/>
  <c r="F5" i="17"/>
  <c r="B12" i="17"/>
  <c r="C12" i="17"/>
  <c r="M58" i="15" s="1"/>
  <c r="F12" i="17"/>
  <c r="B19" i="17"/>
  <c r="E12" i="17"/>
  <c r="E23" i="17" s="1"/>
  <c r="K58" i="15"/>
  <c r="C29" i="17"/>
  <c r="M62" i="15" s="1"/>
  <c r="C30" i="17"/>
  <c r="N62" i="15" s="1"/>
  <c r="I12" i="17"/>
  <c r="J22" i="17" s="1"/>
  <c r="N4" i="17"/>
  <c r="N12" i="17"/>
  <c r="J12" i="17"/>
  <c r="J23" i="17" s="1"/>
  <c r="K12" i="17"/>
  <c r="L12" i="17"/>
  <c r="M22" i="17" s="1"/>
  <c r="M12" i="17"/>
  <c r="M23" i="17" s="1"/>
  <c r="K30" i="17"/>
  <c r="K29" i="17"/>
  <c r="K40" i="15"/>
  <c r="L40" i="15" s="1"/>
  <c r="J28" i="15"/>
  <c r="L28" i="15"/>
  <c r="K28" i="15"/>
  <c r="K33" i="15"/>
  <c r="L33" i="15" s="1"/>
  <c r="L34" i="15"/>
  <c r="L35" i="15"/>
  <c r="J36" i="15"/>
  <c r="J37" i="15"/>
  <c r="J38" i="15"/>
  <c r="L39" i="15"/>
  <c r="K41" i="15"/>
  <c r="L41" i="15" s="1"/>
  <c r="M66" i="15"/>
  <c r="N66" i="15" s="1"/>
  <c r="A34" i="15"/>
  <c r="A30" i="15"/>
  <c r="B23" i="16"/>
  <c r="B22" i="16"/>
  <c r="K13" i="15"/>
  <c r="K12" i="15"/>
  <c r="B23" i="17" l="1"/>
  <c r="L58" i="15" s="1"/>
  <c r="J32" i="15"/>
  <c r="K42" i="15"/>
  <c r="C14" i="16"/>
  <c r="B36" i="16"/>
  <c r="G18" i="16"/>
  <c r="D36" i="16"/>
  <c r="E18" i="16"/>
  <c r="C36" i="16"/>
  <c r="C18" i="16"/>
  <c r="G13" i="16"/>
  <c r="E13" i="16"/>
  <c r="C13" i="16"/>
  <c r="C17" i="16"/>
  <c r="G11" i="16"/>
  <c r="J33" i="15"/>
  <c r="E8" i="16"/>
  <c r="C6" i="16"/>
  <c r="E16" i="16"/>
  <c r="C12" i="16"/>
  <c r="C9" i="16"/>
  <c r="G15" i="16"/>
  <c r="C4" i="16"/>
  <c r="G14" i="16"/>
  <c r="E15" i="16"/>
  <c r="C16" i="16"/>
  <c r="E10" i="16"/>
  <c r="E6" i="16"/>
  <c r="G4" i="16"/>
  <c r="E5" i="16"/>
  <c r="C10" i="16"/>
  <c r="E14" i="16"/>
  <c r="G5" i="16"/>
  <c r="J34" i="15"/>
  <c r="G12" i="16"/>
  <c r="C15" i="16"/>
  <c r="C5" i="16"/>
  <c r="E12" i="16"/>
  <c r="E4" i="16"/>
  <c r="G10" i="16"/>
  <c r="E11" i="16"/>
  <c r="C46" i="16" s="1"/>
  <c r="G17" i="16"/>
  <c r="G6" i="16"/>
  <c r="J41" i="15"/>
  <c r="L38" i="15"/>
  <c r="L32" i="15"/>
  <c r="L42" i="15" s="1"/>
  <c r="J40" i="15"/>
  <c r="C11" i="16"/>
  <c r="E17" i="16"/>
  <c r="G16" i="16"/>
  <c r="J39" i="15"/>
  <c r="L37" i="15"/>
  <c r="L36" i="15"/>
  <c r="J35" i="15"/>
  <c r="B46" i="16" l="1"/>
  <c r="B47" i="16" s="1"/>
  <c r="D46" i="16"/>
  <c r="D47" i="16" s="1"/>
  <c r="C82" i="15"/>
  <c r="C78" i="15"/>
  <c r="J42" i="15"/>
  <c r="B35" i="17" s="1"/>
  <c r="L35" i="17"/>
  <c r="D35" i="17"/>
  <c r="K35" i="17"/>
  <c r="C35" i="17"/>
  <c r="C19" i="16"/>
  <c r="B37" i="16" s="1"/>
  <c r="B42" i="16" s="1"/>
  <c r="G19" i="16"/>
  <c r="E19" i="16"/>
  <c r="C47" i="16"/>
  <c r="K46" i="15"/>
  <c r="K47" i="15" s="1"/>
  <c r="K48" i="15" s="1"/>
  <c r="L46" i="15"/>
  <c r="L47" i="15" s="1"/>
  <c r="L48" i="15" s="1"/>
  <c r="D37" i="16"/>
  <c r="D42" i="16" s="1"/>
  <c r="C72" i="15"/>
  <c r="C37" i="16"/>
  <c r="C42" i="16" s="1"/>
  <c r="J35" i="17" l="1"/>
  <c r="J38" i="17" s="1"/>
  <c r="B43" i="17"/>
  <c r="B39" i="17"/>
  <c r="B36" i="17"/>
  <c r="B38" i="17"/>
  <c r="B37" i="17"/>
  <c r="B40" i="17"/>
  <c r="C43" i="17"/>
  <c r="C39" i="17"/>
  <c r="C36" i="17"/>
  <c r="C38" i="17"/>
  <c r="C37" i="17"/>
  <c r="C40" i="17"/>
  <c r="K43" i="17"/>
  <c r="K39" i="17"/>
  <c r="K38" i="17"/>
  <c r="K36" i="17"/>
  <c r="K37" i="17"/>
  <c r="K40" i="17"/>
  <c r="D39" i="17"/>
  <c r="D43" i="17"/>
  <c r="D38" i="17"/>
  <c r="D36" i="17"/>
  <c r="D40" i="17"/>
  <c r="D37" i="17"/>
  <c r="L43" i="17"/>
  <c r="L39" i="17"/>
  <c r="L37" i="17"/>
  <c r="L36" i="17"/>
  <c r="L38" i="17"/>
  <c r="L40" i="17"/>
  <c r="D49" i="16"/>
  <c r="D52" i="16" s="1"/>
  <c r="J46" i="15"/>
  <c r="J47" i="15" s="1"/>
  <c r="J48" i="15" s="1"/>
  <c r="C49" i="16"/>
  <c r="C52" i="16" s="1"/>
  <c r="B49" i="16"/>
  <c r="B52" i="16" s="1"/>
  <c r="J36" i="17" l="1"/>
  <c r="M36" i="17" s="1"/>
  <c r="J39" i="17"/>
  <c r="M39" i="17" s="1"/>
  <c r="E40" i="17"/>
  <c r="J37" i="17"/>
  <c r="J40" i="17"/>
  <c r="M40" i="17" s="1"/>
  <c r="J43" i="17"/>
  <c r="J45" i="17" s="1"/>
  <c r="M38" i="17"/>
  <c r="E36" i="17"/>
  <c r="C75" i="15" s="1"/>
  <c r="E38" i="17"/>
  <c r="E75" i="15" s="1"/>
  <c r="E39" i="17"/>
  <c r="G75" i="15" s="1"/>
  <c r="E37" i="17"/>
  <c r="D75" i="15" s="1"/>
  <c r="M37" i="17"/>
  <c r="L47" i="17"/>
  <c r="L44" i="17"/>
  <c r="L48" i="17"/>
  <c r="L45" i="17"/>
  <c r="L46" i="17"/>
  <c r="C47" i="17"/>
  <c r="C44" i="17"/>
  <c r="C48" i="17"/>
  <c r="C45" i="17"/>
  <c r="C46" i="17"/>
  <c r="K47" i="17"/>
  <c r="K45" i="17"/>
  <c r="K44" i="17"/>
  <c r="K48" i="17"/>
  <c r="K46" i="17"/>
  <c r="D44" i="17"/>
  <c r="D45" i="17"/>
  <c r="D47" i="17"/>
  <c r="D48" i="17"/>
  <c r="D46" i="17"/>
  <c r="B47" i="17"/>
  <c r="B44" i="17"/>
  <c r="B46" i="17"/>
  <c r="B45" i="17"/>
  <c r="B48" i="17"/>
  <c r="J46" i="17" l="1"/>
  <c r="M46" i="17" s="1"/>
  <c r="J48" i="17"/>
  <c r="M48" i="17" s="1"/>
  <c r="E48" i="17"/>
  <c r="J47" i="17"/>
  <c r="M47" i="17" s="1"/>
  <c r="J44" i="17"/>
  <c r="M44" i="17" s="1"/>
  <c r="E45" i="17"/>
  <c r="E46" i="17"/>
  <c r="M45" i="17"/>
  <c r="E44" i="17"/>
  <c r="E47" i="17"/>
</calcChain>
</file>

<file path=xl/sharedStrings.xml><?xml version="1.0" encoding="utf-8"?>
<sst xmlns="http://schemas.openxmlformats.org/spreadsheetml/2006/main" count="453" uniqueCount="295">
  <si>
    <t>High</t>
  </si>
  <si>
    <t>Mid</t>
  </si>
  <si>
    <t>Low</t>
  </si>
  <si>
    <t>Non-Riparian</t>
  </si>
  <si>
    <t>LU</t>
  </si>
  <si>
    <t>TN</t>
  </si>
  <si>
    <t>Units</t>
  </si>
  <si>
    <t>EIA</t>
  </si>
  <si>
    <t>Acres needed for 2,000 lb TN</t>
  </si>
  <si>
    <t>Crop to Forest</t>
  </si>
  <si>
    <t>lbs TN/acre converted</t>
  </si>
  <si>
    <t>acres</t>
  </si>
  <si>
    <t>Pasture to Forest</t>
  </si>
  <si>
    <t>Hay to Forest</t>
  </si>
  <si>
    <t>Turf to Forest</t>
  </si>
  <si>
    <t>✓</t>
  </si>
  <si>
    <t>Mixed Open to Forest</t>
  </si>
  <si>
    <t>Average</t>
  </si>
  <si>
    <t>acres to get 2000 TN w/ Non-riparian Forest Planting</t>
  </si>
  <si>
    <t>Riparian (RFB)</t>
  </si>
  <si>
    <t>Crop to RFB</t>
  </si>
  <si>
    <t>Pasture to RFB</t>
  </si>
  <si>
    <t>Hay to RFB</t>
  </si>
  <si>
    <t>Turf to RFB</t>
  </si>
  <si>
    <t>Mixed Open to RFB</t>
  </si>
  <si>
    <t>acres to get 2000 TN lbs through RFB</t>
  </si>
  <si>
    <t>https://www.epa.gov/sites/production/files/2018-08/documents/loadreductionmodels2018.pdf</t>
  </si>
  <si>
    <t>Value ($3.0/tCO2e)</t>
  </si>
  <si>
    <t>Young Tree CO2 absorption rate (13 lbs/year)</t>
  </si>
  <si>
    <t>Mature Tree CO2 absorption rate (48 lbs/year)</t>
  </si>
  <si>
    <t>Number of Credits</t>
  </si>
  <si>
    <t xml:space="preserve">Average </t>
  </si>
  <si>
    <t>cost efficiency can be estimated as the total cost (cost/acre * acres) divided by pounds of nutrient reduced (removal per wetland ratio * load for any given upgradient land-use*drainage acres).</t>
  </si>
  <si>
    <t>http://envtn.org/water-quality-trading/state-programs/Final_BMP_Cost.pdf</t>
  </si>
  <si>
    <t xml:space="preserve">Project Cost </t>
  </si>
  <si>
    <t>Total Acres for Load Source</t>
  </si>
  <si>
    <t>Forest Cover</t>
  </si>
  <si>
    <t>Understory Native Planting</t>
  </si>
  <si>
    <t>Load Reduction Calculation Acres</t>
  </si>
  <si>
    <t xml:space="preserve">CARBON SEQUESTRATION </t>
  </si>
  <si>
    <t>EIA = "Equivalent Impervious Acres"</t>
  </si>
  <si>
    <t>LU = "land use"</t>
  </si>
  <si>
    <t>Non-Riparian Forest Planting</t>
  </si>
  <si>
    <t>Riparian Forest Planting</t>
  </si>
  <si>
    <t xml:space="preserve">MS4 Credits Earned </t>
  </si>
  <si>
    <t>Non-Riparian Native Grass Planting</t>
  </si>
  <si>
    <t>https://mde.maryland.gov/programs/water/StormwaterManagementProgram/Documents/2020%20MS4%20Accounting%20Guidance.pdf</t>
  </si>
  <si>
    <t>Riparian Native Grass Planting</t>
  </si>
  <si>
    <t>Total Project Acres</t>
  </si>
  <si>
    <t>Load Reduction Calculation # of Acres</t>
  </si>
  <si>
    <t>MS4 Credits Earned</t>
  </si>
  <si>
    <t>N/A</t>
  </si>
  <si>
    <t>NOTES:</t>
  </si>
  <si>
    <t>Crop</t>
  </si>
  <si>
    <t>Pasture</t>
  </si>
  <si>
    <t>Turf</t>
  </si>
  <si>
    <t>Hay</t>
  </si>
  <si>
    <t>RFB PROJECTS IN RIPARIAN ZONE</t>
  </si>
  <si>
    <t>RFB PROJECTS IN NON-RIPARIAN ZONE</t>
  </si>
  <si>
    <t>Total Project Acres and Load Reduction Calculation for Number of Acres</t>
  </si>
  <si>
    <t>Calculator Development Notes</t>
  </si>
  <si>
    <t xml:space="preserve">NATIVE GRASS PLANTING LOAD REDUCTIONS </t>
  </si>
  <si>
    <t xml:space="preserve">Pollutant load reductions for native grass plantings are based on the estimates provided for "Conservation Landscaping" of MDE's 2020 Guidance for Accounting of Stormwater Wasteload Allocations on (pp 15-16). These reduction values will be applied to both Phase I and Phase II projects pursuant to MDE staff instructions.  https://mde.maryland.gov/programs/water/StormwaterManagementProgram/Documents/2020%20MS4%20Accounting%20Guidance.pdf </t>
  </si>
  <si>
    <t>Enforcing maximum implementation values BMP implementation values are capped at the available load source, which means that a load source cannot go below zero. Also, the sum of BMPs for a load source cannot exceed the available area. If the BMP area exceeds the load source area, each BMP is reduced proportionally so that the sum of all the area equals the available area (Chesapeake Bay Program (2009).  Quick Reference Guide for Best Management Practices https://www.chesapeakebay.net/documents/BMP-Guide_Full.pdf).  The two BMPs are mutually exclusive and when added together cannot exceed the available area. Therefore, they are reduced proportionately so that X acres of the forest cover and Y acres of the native grass plantings are applied to the available load source area using the formula below: 
(Forest Cover/(Forest Cover + Understory Native Planting)*Total Project Acres</t>
  </si>
  <si>
    <t>Per 2014 Guidance</t>
  </si>
  <si>
    <t>User Interface Drop-Down Menu Selections</t>
  </si>
  <si>
    <t>Hardwood seedling</t>
  </si>
  <si>
    <t>Hardwood containerized tree</t>
  </si>
  <si>
    <t>Conifer seedling</t>
  </si>
  <si>
    <t>Yes</t>
  </si>
  <si>
    <t>No</t>
  </si>
  <si>
    <t xml:space="preserve">ESTIMATED PROJECT COSTS </t>
  </si>
  <si>
    <t xml:space="preserve">Low </t>
  </si>
  <si>
    <t>Cost Range</t>
  </si>
  <si>
    <t>Private Easement Payout</t>
  </si>
  <si>
    <t>Budget &amp; Project Costs</t>
  </si>
  <si>
    <t xml:space="preserve">Land Survey costs are based on the average cost of $65,000 and adjusted by 25% to estimate low-end and high-end price points. </t>
  </si>
  <si>
    <t>TOTAL PROJECT COST</t>
  </si>
  <si>
    <t>TN Reduction</t>
  </si>
  <si>
    <t>TP Reduction</t>
  </si>
  <si>
    <t xml:space="preserve">HOW MUCH POLLUTION COULD BE REDUCED BY DOING THIS PROJECT? </t>
  </si>
  <si>
    <t>HOW MANY CARBON CREDITS COULD YOU EARN BY DOING THIS PROJECT?</t>
  </si>
  <si>
    <t xml:space="preserve">$ Value of Carbon Credits Earned </t>
  </si>
  <si>
    <t>Number of Seedlings Planted</t>
  </si>
  <si>
    <t>Enter the number of acres</t>
  </si>
  <si>
    <t xml:space="preserve">How much can I do with $X? </t>
  </si>
  <si>
    <t xml:space="preserve">These multipliers were calculated using cost/acre averages for projects on 100 acres with 75% seedlings and 25% native grass plantings for each type of land use conversion. </t>
  </si>
  <si>
    <t xml:space="preserve">Mid </t>
  </si>
  <si>
    <t xml:space="preserve">Cost Ranges </t>
  </si>
  <si>
    <t>Average Cost/Acre</t>
  </si>
  <si>
    <t xml:space="preserve">This assumes 50 acres planted with conifers and 25 acres planted with hardwood seedlings. </t>
  </si>
  <si>
    <t>You could earn this many MS4 stormwater credits</t>
  </si>
  <si>
    <t>You could afford to reforest this many acres</t>
  </si>
  <si>
    <t>Conifer containerized tree</t>
  </si>
  <si>
    <t>Are you planning to receive any grant funding? Enter a dollar value here.</t>
  </si>
  <si>
    <t>The annual payments on your loan could be as low as</t>
  </si>
  <si>
    <t>The annual payments on your MDE loan will be approximately</t>
  </si>
  <si>
    <t xml:space="preserve">What interest rate do you expect to pay on a loan? </t>
  </si>
  <si>
    <t>ANTICIPATED ENVIRONMENTAL BENEFITS</t>
  </si>
  <si>
    <t>I don't know</t>
  </si>
  <si>
    <t>WHAT IS THE IMPLEMENTATION COST PER ACRE?</t>
  </si>
  <si>
    <t xml:space="preserve">Selection of the Market Rate compared to the MDE Lending Rate (B33). </t>
  </si>
  <si>
    <t xml:space="preserve">If you select "No" in B33, the potential savings are calculated compared to MDE's market rate, which would be equivalent to one of the best municipal market rates possible (AAA). Most entities are unable to receive such a low market rate. Therefore, your savings are likely to be substantially higher than the savings calculated in I29-L29. </t>
  </si>
  <si>
    <t>Mixed Open</t>
  </si>
  <si>
    <t>STORMWATER PERMITS AND CREDITS</t>
  </si>
  <si>
    <t xml:space="preserve">Financing </t>
  </si>
  <si>
    <t>Part 1:  PROJECT COSTS</t>
  </si>
  <si>
    <t>Part 2:  PROJECT BENEFITS</t>
  </si>
  <si>
    <t>WANT TO LEARN MORE ABOUT MDE'S ECOSYSTEM RESTORATION CALCULATOR?</t>
  </si>
  <si>
    <t>EIA Credits</t>
  </si>
  <si>
    <t>How quickly do you plan to repay the loan (years)? Select from the drop down box.</t>
  </si>
  <si>
    <t>ESTIMATED MDE CWSRF LOAN REPAYMENT</t>
  </si>
  <si>
    <t>The total payments to MDE over the life of the loan  will be approximately</t>
  </si>
  <si>
    <t>Carbon Credits Earned when Trees &lt; 10 Years old</t>
  </si>
  <si>
    <t>Carbon Credits Earned when Trees Mature (&gt;10 Years old)</t>
  </si>
  <si>
    <t>ESTIMATED BENEFITS &amp; ANNUAL COSTS</t>
  </si>
  <si>
    <t>How much do you plan to invest in the project? Enter a dollar value here.</t>
  </si>
  <si>
    <t xml:space="preserve"> What will you plant? </t>
  </si>
  <si>
    <t>8 - How much will you spend on a land survey? Select the estimated cost/acre for your area from the drop down box.</t>
  </si>
  <si>
    <t xml:space="preserve">9 - How much will you spend on an appraisal? Select the estimated cost for your area from the drop down box. </t>
  </si>
  <si>
    <t xml:space="preserve">10 - How much will you spend on legal services? Select the estimated cost for your area from the drop down box. </t>
  </si>
  <si>
    <t xml:space="preserve">10 - Legal Services </t>
  </si>
  <si>
    <t>11 - Private Easement Payout</t>
  </si>
  <si>
    <t>Miscellaneous/Other</t>
  </si>
  <si>
    <t>12 - Miscellaneous/Other</t>
  </si>
  <si>
    <r>
      <rPr>
        <b/>
        <sz val="20"/>
        <color theme="9" tint="-0.499984740745262"/>
        <rFont val="Calibri"/>
        <family val="2"/>
        <scheme val="minor"/>
      </rPr>
      <t>What is a "disadvantaged community"?</t>
    </r>
    <r>
      <rPr>
        <sz val="14"/>
        <color theme="9" tint="-0.499984740745262"/>
        <rFont val="Calibri"/>
        <family val="2"/>
        <scheme val="minor"/>
      </rPr>
      <t xml:space="preserve"> </t>
    </r>
    <r>
      <rPr>
        <sz val="16"/>
        <color theme="9" tint="-0.499984740745262"/>
        <rFont val="Calibri"/>
        <family val="2"/>
        <scheme val="minor"/>
      </rPr>
      <t xml:space="preserve">MDE's Water Quality Financing Administration takes several criteria into account to determine whether a community should be designated as "disadvantaged". These include median household income, unemployment rate, and population declination. Disadvantaged communities may receive reduced interest rates or loan forgiveness from MDE's Water Quality Revolving Loan Fund program. </t>
    </r>
  </si>
  <si>
    <r>
      <rPr>
        <b/>
        <sz val="16"/>
        <color theme="9" tint="-0.499984740745262"/>
        <rFont val="Calibri"/>
        <family val="2"/>
        <scheme val="minor"/>
      </rPr>
      <t>The Power of Trees.</t>
    </r>
    <r>
      <rPr>
        <sz val="16"/>
        <color theme="9" tint="-0.499984740745262"/>
        <rFont val="Calibri"/>
        <family val="2"/>
        <scheme val="minor"/>
      </rPr>
      <t xml:space="preserve"> On average, one acre of new forest can sequester about 2.5 tons of carbon annually. Trees reach their most productive stage of carbon storage at about 10 years at which point they are estimated to absorb 48 pounds of CO</t>
    </r>
    <r>
      <rPr>
        <vertAlign val="subscript"/>
        <sz val="16"/>
        <color theme="9" tint="-0.499984740745262"/>
        <rFont val="Calibri (Body)"/>
      </rPr>
      <t xml:space="preserve">2 </t>
    </r>
    <r>
      <rPr>
        <sz val="16"/>
        <color theme="9" tint="-0.499984740745262"/>
        <rFont val="Calibri"/>
        <family val="2"/>
        <scheme val="minor"/>
      </rPr>
      <t>per year.</t>
    </r>
  </si>
  <si>
    <t>Volume of Raw Water Treated per day (MG/day)</t>
  </si>
  <si>
    <t>% of NTU Reduced</t>
  </si>
  <si>
    <t>Estimated Treatment Cost Savings per MG treated</t>
  </si>
  <si>
    <t>Estimated Annual Cost savings from reduction in NTU</t>
  </si>
  <si>
    <t>HOW MUCH COULD YOUR SAVE ON DRINKING WATER TREATMENT COSTS BY DOING THIS PROJECT?</t>
  </si>
  <si>
    <t>Part 3:  MEASURING COST EFFICIENCIES OF YOUR PROJECT</t>
  </si>
  <si>
    <t>COST EFFICIENCIES (per acre/ lb)</t>
  </si>
  <si>
    <t>Drinking Water Source Protection - Reductions in NTU</t>
  </si>
  <si>
    <t>After consideration of various methodologies for measuring cost savings by reduced TSS and turbidity as presented by EPA in its Watershed Management Optimization Support Tool Benefits Module: Theoretical Documentation report (pp 10-11) and Environmental Impact and Benefits Assessment for Final Effluent Guidelines and Standards for the Construction and Development Category (pp 9-8, 9-9), it was concluded that for the purposes of this Ecosystem Restoration Benefits Calculator the detail and complexity of the required variables, inputs, and sigma summation in quadratic expressions was not supported by the existing scope of work under this pilot. We have elected to illustrate the potential cost savings that drinking water utilities may realize as a result of ecosystem restoration projects efforts through the reduction of TSS (represented here as Nephelometric Turbidity Units).  These assumptions are predicated on the proportional relationship between a 1% in turbidity from an average level of 23.05 NTU will reduce chemical treatment costs (alum) by $0.20 per million gallons. For a monthly production of 22.35 million gallons, a 1% decrease in turbidity would reduce chemical costs by $534 annually for the average drinking water treatment plant. (https://agupubs.onlinelibrary.wiley.com/doi/epdf/10.1029/98WR00213, pp852)</t>
  </si>
  <si>
    <t>Compared to your other borrowing option, over the life of the loan you will save at least</t>
  </si>
  <si>
    <t>Option A: Seedlings + Native Grass Seed</t>
  </si>
  <si>
    <t>Option B: Seedlings + Native Grass Plugs</t>
  </si>
  <si>
    <t>Option C: Seedlings Only</t>
  </si>
  <si>
    <t>Line Item</t>
  </si>
  <si>
    <t>Unit Rates</t>
  </si>
  <si>
    <t>Costs</t>
  </si>
  <si>
    <t>Notes</t>
  </si>
  <si>
    <t>Hardwood Seedling Installation with 5ft. Shelter and stake</t>
  </si>
  <si>
    <t>Native Grass 2" Plugs (3 between each tree)</t>
  </si>
  <si>
    <t>Native Grass Seed (1 lb/acre)</t>
  </si>
  <si>
    <t>Planting Plan Per Acre with owners amendments (1x fee)</t>
  </si>
  <si>
    <t>Vegetation control using basal bark per acre (1x/yr) for pre-planting prep)</t>
  </si>
  <si>
    <t>As needed, this value is for all acres</t>
  </si>
  <si>
    <t>Mowing per acre (5x/yr)</t>
  </si>
  <si>
    <t xml:space="preserve"> 5 times per year</t>
  </si>
  <si>
    <t>Pre-Planting Maintenance</t>
  </si>
  <si>
    <t>Stakeout per acre (1x fee)</t>
  </si>
  <si>
    <t>1 time per project</t>
  </si>
  <si>
    <t>Totals</t>
  </si>
  <si>
    <t xml:space="preserve">Project acres </t>
  </si>
  <si>
    <t>Trees per acre</t>
  </si>
  <si>
    <t>Appraisal Values per acre</t>
  </si>
  <si>
    <t>Option A</t>
  </si>
  <si>
    <t>Option B</t>
  </si>
  <si>
    <t>Option C</t>
  </si>
  <si>
    <t>Total Estimated Private Easement Payouts</t>
  </si>
  <si>
    <t>Estimated Private Property Landscaper Costs</t>
  </si>
  <si>
    <t>Estimated Surveying Costs</t>
  </si>
  <si>
    <t>Estimated Appraisal Costs</t>
  </si>
  <si>
    <t xml:space="preserve">Estimated Legal Services </t>
  </si>
  <si>
    <t>TOTAL INSTALLATION COST</t>
  </si>
  <si>
    <t>Annual Assessment Costs</t>
  </si>
  <si>
    <r>
      <t xml:space="preserve">TOTAL ASSESSMENT COSTS </t>
    </r>
    <r>
      <rPr>
        <sz val="10"/>
        <color theme="1"/>
        <rFont val="Arial"/>
        <family val="2"/>
      </rPr>
      <t>( 2-years)</t>
    </r>
  </si>
  <si>
    <t>TOTAL PROJECT COSTS</t>
  </si>
  <si>
    <t>TOTAL IMPLEMENTATION COST PER ACRE</t>
  </si>
  <si>
    <t>Project Location</t>
  </si>
  <si>
    <t>Project Budget &amp; Financing</t>
  </si>
  <si>
    <t>13- Are you planning to receive any grant funding? Enter a dollar value here.</t>
  </si>
  <si>
    <t>`</t>
  </si>
  <si>
    <t>4 - Planting:  Native Grasses</t>
  </si>
  <si>
    <t>8 - Land Survey</t>
  </si>
  <si>
    <t>9 - Land Appraisal</t>
  </si>
  <si>
    <t xml:space="preserve">17 - How quickly do you plan to repay the loan (years)? Select from the drop down box. </t>
  </si>
  <si>
    <t>14 - If you are financing the rest of your project with an MDE loan, go here to enter your interest rate. Do not include the administrative fee</t>
  </si>
  <si>
    <t>15 - Are you a disadvantaged community, as defined by MDE? (Use the drop-down box)</t>
  </si>
  <si>
    <t>3 - How much will you spend to hire a landscaper for pre-planting services? Select the estimated cost/acre for your area from the drop down box.</t>
  </si>
  <si>
    <t>6A - Do you want to plant hardwoods? Make your selection in the drop-down menu.</t>
  </si>
  <si>
    <t>6B - Do you want to plant conifers? Make your selection in the drop down menu.</t>
  </si>
  <si>
    <t xml:space="preserve">2A - How many acres are in your project area? Enter the number of acres. </t>
  </si>
  <si>
    <t>2B - Enter the number of trees per acre you will plant.</t>
  </si>
  <si>
    <r>
      <rPr>
        <b/>
        <sz val="20"/>
        <color theme="9" tint="-0.499984740745262"/>
        <rFont val="Calibri"/>
        <family val="2"/>
        <scheme val="minor"/>
      </rPr>
      <t>How does the Estimated Project Costs budgeting table work?</t>
    </r>
    <r>
      <rPr>
        <sz val="16"/>
        <color theme="9" tint="-0.499984740745262"/>
        <rFont val="Calibri"/>
        <family val="2"/>
        <scheme val="minor"/>
      </rPr>
      <t xml:space="preserve">            
Your project cost entries will be shown in the budget table below. Each line item numerically corresponds with a project cost entry on the left. Low, mid, and high cost ranges have been included for each budget line item to help you plan for a more realistic cost spread.</t>
    </r>
    <r>
      <rPr>
        <b/>
        <sz val="16"/>
        <color theme="9" tint="-0.499984740745262"/>
        <rFont val="Calibri"/>
        <family val="2"/>
        <scheme val="minor"/>
      </rPr>
      <t xml:space="preserve"> The budget is based on broad cost estimates only. Actual project costs will vary. </t>
    </r>
  </si>
  <si>
    <t xml:space="preserve">4 - How many acres will be planted with native grasses? Enter the number of acres. </t>
  </si>
  <si>
    <t>3 - Pre-Planting Services</t>
  </si>
  <si>
    <t>6 - Planting:  Seedlings</t>
  </si>
  <si>
    <t>6 - Planting: Containerized Trees</t>
  </si>
  <si>
    <t xml:space="preserve">5 - How many acres will be planted with seedlings and/or containerized trees? Enter the number of acres. </t>
  </si>
  <si>
    <t xml:space="preserve">12 - Enter the cost of any other project expenditures you may have that were not captured above. </t>
  </si>
  <si>
    <t>TN (lbs/year)</t>
  </si>
  <si>
    <t>TP (lbs/year)</t>
  </si>
  <si>
    <t>TSS (lbs/year)</t>
  </si>
  <si>
    <t>Total Load Reduction from Tree Planting (lbs/year)</t>
  </si>
  <si>
    <t>Total Load Reductions from Native Grass Planting (lbs/year)</t>
  </si>
  <si>
    <t>Total Nitrogen (lbs/year)</t>
  </si>
  <si>
    <t>Total Phosphorus (lbs/year)</t>
  </si>
  <si>
    <t>Total Suspended Solids (lbs/year)</t>
  </si>
  <si>
    <t>Expected Life of BMP</t>
  </si>
  <si>
    <t>TN ($/lb)</t>
  </si>
  <si>
    <t>TP ($/lb)</t>
  </si>
  <si>
    <t>TSS ($/lb)</t>
  </si>
  <si>
    <t xml:space="preserve"> &lt;10 years ($/tCO2e)</t>
  </si>
  <si>
    <t>&gt;10 years ($/tCO2e)</t>
  </si>
  <si>
    <t>Total Nitrogen ($/lb)</t>
  </si>
  <si>
    <t>Total Phosphorus ($/lb)</t>
  </si>
  <si>
    <t>Total Suspended Solids ($/lb)</t>
  </si>
  <si>
    <t>Total Carbon Capture ($/tCO2e)</t>
  </si>
  <si>
    <t>PROJECT DESCRIPTION</t>
  </si>
  <si>
    <t>Land Use Conversion</t>
  </si>
  <si>
    <t>Jurisdiction</t>
  </si>
  <si>
    <t>Number of Acres</t>
  </si>
  <si>
    <t>7 - How much will you spend to hire a contractor to perform post-planting services? Select the cost/acre for your area from the drop down box.</t>
  </si>
  <si>
    <t>7 - Post-Planting Services</t>
  </si>
  <si>
    <t>16A - Do you know what interest rate you'd have to pay if you did not receive an MDE loan? Select from the drop down box.</t>
  </si>
  <si>
    <t xml:space="preserve">16B - If you selected Yes, what interest rate would you pay? </t>
  </si>
  <si>
    <t xml:space="preserve">Benefits of environmental projects that are capable of achieving a fully-functioning forest or riparian ecosystem can also be measured in how cost-effectively different approaches enable communities to achieve such goals. The estimates below are used to calculate the total cost efficiencies by looking at cost per pound of pollutant reduced by the project. </t>
  </si>
  <si>
    <t>*Cost efficiencies annualized over the life of financing.</t>
  </si>
  <si>
    <t>8 - Land Survey Costs</t>
  </si>
  <si>
    <t>10 - Legal Services</t>
  </si>
  <si>
    <t>17 - How quickly do you plan to repay the loan (years)</t>
  </si>
  <si>
    <t>12- Private Easement Payout</t>
  </si>
  <si>
    <t xml:space="preserve">3 - Pre-Planting Services </t>
  </si>
  <si>
    <t>7- Post-Planting Services</t>
  </si>
  <si>
    <t>6A - Hardwoods</t>
  </si>
  <si>
    <t>Various</t>
  </si>
  <si>
    <t>6B - Conifers</t>
  </si>
  <si>
    <t>WHAT IS THE ANNUALIZED* COST ($) PER POUND OF POLLUTANT REDUCED?</t>
  </si>
  <si>
    <t>* Annualized over 30 years (the expected life of the best management practice)</t>
  </si>
  <si>
    <t>1 - Which MS4 Accounting Guidance applies to you?</t>
  </si>
  <si>
    <t>2021 Riparian</t>
  </si>
  <si>
    <t>2014 Riparian</t>
  </si>
  <si>
    <t>2021 Non-Riparian</t>
  </si>
  <si>
    <t>2014 Non-Riparian</t>
  </si>
  <si>
    <t>1A - Which MS4 Accounting Guidance applies to your project? Select from the drop down box</t>
  </si>
  <si>
    <t>Per 2021 Guidance</t>
  </si>
  <si>
    <t>REFORESTATION LOAD REDUCTIONS (MS4 2021 Guidance)</t>
  </si>
  <si>
    <t>MS4 2014 Guidance</t>
  </si>
  <si>
    <t>MS4 2021 Guidance COST EFFICIENCIES ( Annualized $/lb)</t>
  </si>
  <si>
    <t>MS4 2021 Guidance Summed Total TN and TP Load Reductions (lbs/year)</t>
  </si>
  <si>
    <t>MS4 2014 Guidance Summed Total TN and TP Load Reductions (lbs/year)</t>
  </si>
  <si>
    <t>MS4 2014 Guidance COST EFFICIENCIES (Annualized $/lb)</t>
  </si>
  <si>
    <t xml:space="preserve">Which MS4 Accounting Guidance applies to your project? Select from the drop down box. </t>
  </si>
  <si>
    <t>11 - Will you need to compensate private landowners for the acreage they are contributing to ecosystem restsoration with a conservation easement? Typical appraisal values per acre range from $3,000 (low range), $6,000 (mid-range), and $9,000 (high range). Please enter the amount you anticipate to pay per acre. If you do not need to compensate private landowners, enter "0".</t>
  </si>
  <si>
    <t>EIA Cost/MS4 Credit</t>
  </si>
  <si>
    <t>1B  - What land use are you converting to Forest Buffer (FB)? Select from the drop down box.</t>
  </si>
  <si>
    <t>2021 Guidance</t>
  </si>
  <si>
    <t>2014 Guidance</t>
  </si>
  <si>
    <t xml:space="preserve">MS4 Credits for projects following the 2021 Guidance: Calculations for the estimated number of MS4 credits that may be earned by the project are based on Estimated Impervious Acre (EIA) land cover conversions for both forest plantings and conservation landscaping (including native grasses) in non-riparian and riparian areas as determined by MDE in their 2020 Accounting for Stormwater Wasteload Allocations and Impervious Acres Treated Guidance https://mde.maryland.gov/programs/water/StormwaterManagementProgram/Documents/2020%20MS4%20Accounting%20Guidance.pdf </t>
  </si>
  <si>
    <t>MS4 Credits for projects following the 2014 Guidance: Calculations for the estimated number of MS4 credits that may be earned by the project are based on EIA land cover conversions for reforestation of urban pervious areas ONLY. In the 2014 MS4 Stormwater Accounting Guidance, there is no functional equivalent for "conservation landscaping" or is there differentiation between MS4 credits available for reforstation of urban pervious areas in a riparian vs. non-riparian area.</t>
  </si>
  <si>
    <r>
      <t xml:space="preserve">Already have forest financing project in mind? Use The Project Planning Tool below to estimate what this project might cost, how many stormwater credits you might be able to earn, how the project might reduce pollution loads in stormwater runoff, and how many carbon credits you could earn! </t>
    </r>
    <r>
      <rPr>
        <b/>
        <sz val="16"/>
        <color theme="9" tint="-0.499984740745262"/>
        <rFont val="Calibri"/>
        <family val="2"/>
        <scheme val="minor"/>
      </rPr>
      <t>Enter information or use the drop down menus to make selections in the gray shaded boxes ONLY.</t>
    </r>
    <r>
      <rPr>
        <sz val="16"/>
        <color theme="9" tint="-0.499984740745262"/>
        <rFont val="Calibri"/>
        <family val="2"/>
        <scheme val="minor"/>
      </rPr>
      <t xml:space="preserve"> </t>
    </r>
  </si>
  <si>
    <t xml:space="preserve">Forest financing projects can provide and protect wildlife habitat, and improve local water quality by filtering out sediment, organic matter, fertilizers and other pollutants. These projects can also effectively capture carbon. How could your project benefit Maryland's environment? </t>
  </si>
  <si>
    <r>
      <rPr>
        <b/>
        <sz val="16"/>
        <color theme="9" tint="-0.499984740745262"/>
        <rFont val="Calibri"/>
        <family val="2"/>
        <scheme val="minor"/>
      </rPr>
      <t>Drinking Water Source Protection.</t>
    </r>
    <r>
      <rPr>
        <sz val="16"/>
        <color theme="9" tint="-0.499984740745262"/>
        <rFont val="Calibri"/>
        <family val="2"/>
        <scheme val="minor"/>
      </rPr>
      <t xml:space="preserve"> Forest financing projects that involve reforestation activities can also protect surface and groundwater drinking water resources from contamination. Turbidity is caused by elevated Total Suspended Solids present in raw water that is treated for potable uses and it directly impacts the annual cost of treatment and chemicals.  This value is measured in Nephelometric Turbidity Units (NTU). Please enter the volume of raw water treated per day at your facility and adjust the percent of NTU reduction you hope to achieve in the gray shaded boxes below to see the impact on water treatment costs.</t>
    </r>
    <r>
      <rPr>
        <b/>
        <sz val="16"/>
        <color theme="9" tint="-0.499984740745262"/>
        <rFont val="Calibri"/>
        <family val="2"/>
        <scheme val="minor"/>
      </rPr>
      <t xml:space="preserve">  These cost savings are estimates only and based on data provided by the user. Actual cost savings will vary. </t>
    </r>
  </si>
  <si>
    <t>Please refer to the Forest Financing Implementation Tool User Guide for more information on the calculator functions, multipliers and assumptions, and cost data.</t>
  </si>
  <si>
    <t xml:space="preserve">2021 Guidance Projects: TP and TSS load reductions for  forest plantings are based on the estimates provided for by MDE's 2020 Guidance for Accounting of Stormwater Wasteload Allocations on (pp 15-16) https://mde.maryland.gov/programs/water/StormwaterManagementProgram/Documents/2020%20MS4%20Accounting%20Guidance.pdf </t>
  </si>
  <si>
    <t xml:space="preserve">2014 Guidance Projects:  Pollutant load reductions are based on "Reforestation on Pervious Urban" values provided in MDE's 2014 MS4 Stormwater Accounting Guidance (pp 44). </t>
  </si>
  <si>
    <t>Non-Riparian Forest Planting (Ag Conversion)</t>
  </si>
  <si>
    <t>Riparian Forest Planting (Ag Conversion)</t>
  </si>
  <si>
    <t>THE PROJECT PLANNING TOOL</t>
  </si>
  <si>
    <t>DISCOVER MD FFIT</t>
  </si>
  <si>
    <t>Case Study Project Costs*</t>
  </si>
  <si>
    <t xml:space="preserve">*If you do not know the exact cost per acre, refer to the cost ranges for these services provided in the "Notes" tab of MD FFIT as a guide. </t>
  </si>
  <si>
    <t>Average Cost</t>
  </si>
  <si>
    <t>$5 - $20 each</t>
  </si>
  <si>
    <t xml:space="preserve">All information included in this Example Project Budget was based on real-world projects undertaken by similar programs in Maryland. Actual costs will vary. </t>
  </si>
  <si>
    <t>$12.50 - 2 gallon, $31 - 5 gallon, $42 - 7 gallon, $68 - 10 gallon, $80 - 15 gallon</t>
  </si>
  <si>
    <t>$12.50 - 2 gallon, $42 - 7 gallon, $95 - 15 gallon</t>
  </si>
  <si>
    <t xml:space="preserve">Conifer Seedling </t>
  </si>
  <si>
    <t xml:space="preserve">Conifer Containerized tree </t>
  </si>
  <si>
    <t>Average Cost per tree</t>
  </si>
  <si>
    <t>Installation: Shelter &amp; Stake</t>
  </si>
  <si>
    <t>Hardwood Containerized tree Installation with 5ft shelter and stake</t>
  </si>
  <si>
    <t>Vegetation Control (post-planting) with Spot Spray Method Per Acre (2x/yr)</t>
  </si>
  <si>
    <t>Bush Hogging (as needed)</t>
  </si>
  <si>
    <t>Mulching of trees (as needed)</t>
  </si>
  <si>
    <t>Maintenance ( 1x/year broadcast spray, re-stake)</t>
  </si>
  <si>
    <t>WELCOME TO MARYLAND'S FOREST FINANCING IMPLEMENTATION TOOL!</t>
  </si>
  <si>
    <r>
      <t xml:space="preserve">This calculator was developed to help communicate the benefits of tree planting and reforestation projects in the state of Maryland and the critical role these types of projects play in protecting water quality in our rivers, streams, and the Chesapeake Bay. Forest financing projects that incorporate tree and native grass plantings can effectivelly reduce pollutant runoff, support healthy soils, sequester carbon dioxide, and potentially earn stormwater credits needed for permit compliance in certain jurisdictions.  This calculator is divided into two separate sections: Discover MD FFIT and The Project Planning Tool. 
Please refer to the </t>
    </r>
    <r>
      <rPr>
        <b/>
        <sz val="16"/>
        <color theme="9" tint="-0.499984740745262"/>
        <rFont val="Calibri"/>
        <family val="2"/>
        <scheme val="minor"/>
      </rPr>
      <t>MD FFIT User Guide</t>
    </r>
    <r>
      <rPr>
        <sz val="16"/>
        <color theme="9" tint="-0.499984740745262"/>
        <rFont val="Calibri"/>
        <family val="2"/>
        <scheme val="minor"/>
      </rPr>
      <t xml:space="preserve"> for more information on how to use the calculator, the functions, multipliers and assumptions, and cost data.</t>
    </r>
  </si>
  <si>
    <r>
      <t xml:space="preserve">Curious about how far your money can take you with a forest financing project? How much can you afford? Use this section of the tool to create a hypothetical overview of what a potential ecosystem project might cost, how many stormwater credits could be earned, and what your loan payments might look like. This section will provide a general overview only. The multipliers used to estimate project benefits and annual costs in this section are based on an assumption of 100 turf-to-forest acres planted with 75% seedlings (50 acres planted with conifers and 25 acres planted with hardwood seedlings) and 25% native grass plantings, as well as hired services for landscaping and post planting. </t>
    </r>
    <r>
      <rPr>
        <b/>
        <sz val="16"/>
        <color theme="9" tint="-0.499984740745262"/>
        <rFont val="Calibri"/>
        <family val="2"/>
        <scheme val="minor"/>
      </rPr>
      <t>Actual project costs will vary</t>
    </r>
    <r>
      <rPr>
        <sz val="16"/>
        <color theme="9" tint="-0.499984740745262"/>
        <rFont val="Calibri"/>
        <family val="2"/>
        <scheme val="minor"/>
      </rPr>
      <t>.</t>
    </r>
    <r>
      <rPr>
        <b/>
        <sz val="16"/>
        <color theme="9" tint="-0.499984740745262"/>
        <rFont val="Calibri"/>
        <family val="2"/>
        <scheme val="minor"/>
      </rPr>
      <t xml:space="preserve"> If you have a specific project in mind, please continue to The Project Planning Tool below to explore the costs and benefits in more detail. </t>
    </r>
  </si>
  <si>
    <t>Contractor, Labor and Land Services</t>
  </si>
  <si>
    <t>EIA Cost/Acre/Year</t>
  </si>
  <si>
    <t>REFORESTATION LOAD REDUCTIONS</t>
  </si>
  <si>
    <r>
      <rPr>
        <b/>
        <sz val="16"/>
        <color theme="9" tint="-0.499984740745262"/>
        <rFont val="Calibri"/>
        <family val="2"/>
        <scheme val="minor"/>
      </rPr>
      <t xml:space="preserve">"TURF", "CROP", "PASTURE", OR "HAY" CONVERSION PROJECTS: </t>
    </r>
    <r>
      <rPr>
        <sz val="16"/>
        <color theme="9" tint="-0.499984740745262"/>
        <rFont val="Calibri"/>
        <family val="2"/>
        <scheme val="minor"/>
      </rPr>
      <t>HOW MANY MS4 STORMWATER CREDITS COULD YOU EARN BY DOING THIS PROJECT?</t>
    </r>
  </si>
  <si>
    <t xml:space="preserve"> "Turf", "Crop", "Pasture", and "Hay" Conversions</t>
  </si>
  <si>
    <t>"Mixed Open" Conversions</t>
  </si>
  <si>
    <t>For projects following the 2021 Guidance, calculations for the estimated number of MS4 credits that may be earned by the project are based on Equivalent Impervious Acre (EIA) land cover conversions for both forest plantings and conservation landscaping (including native grasses) in riparian and non-riparian areas as determined by MDE in their 2021 "Accounting for Stormwater Wasteload Allocations and Impervious Acres Treated Guidance." For projects following the 2014 Guidance, there is no functional equivalent for "conservation landscaping" (including native grasses), nor is there differentiation between MS4 credits available for reforestation of urban  pervious areas in a riparian vs. non-riparian area. EIA credit is contingent upon meeting the planting criteria for conservation landscaping and forest planting in the Accounting Guidance.</t>
  </si>
  <si>
    <t xml:space="preserve">For projects using the 2021 Guidance, calculations for the estimated number of MS4 credits that may be earned by the project are based on Equivalent Impervious Acre (EIA) land cover conversions for both forest plantings and conservation landscaping (including native grasses) in non-riparian and riparian areas as determined by MDE in their 2020 Accounting for Stormwater Wasteload Allocations and Impervious Acres Treated Guidance https://mde.maryland.gov/programs/water/StormwaterManagementProgram/Documents/2020%20MS4%20Accounting%20Guidance.pdf </t>
  </si>
  <si>
    <t xml:space="preserve">Equivalent Impervious Area (EIA) credits may only be applied toward a permit for land use conversion projects pursuant to MDE's Integrated Project Priority System.   </t>
  </si>
  <si>
    <t>WHAT IS THE ANNUALIZED* EQUIVALENT IMPERVIOUS ACRE (EIA) COST?</t>
  </si>
  <si>
    <t>WHAT IS THE EQUIVALENT IMPERVIOUS ACRE (EIA) COST PER MS4 CREDIT?</t>
  </si>
  <si>
    <r>
      <t xml:space="preserve">"MIXED OPEN" </t>
    </r>
    <r>
      <rPr>
        <sz val="16"/>
        <color theme="9" tint="-0.499984740745262"/>
        <rFont val="Calibri"/>
        <family val="2"/>
        <scheme val="minor"/>
      </rPr>
      <t>Updated 03/31/2022: Mixed Open MS4 credit is not applicable at this time. MDE is exploring a credit option for this conversion.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</si>
</sst>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s>
  <fonts count="55">
    <font>
      <sz val="11"/>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i/>
      <sz val="11"/>
      <color rgb="FF000000"/>
      <name val="Arial"/>
      <family val="2"/>
    </font>
    <font>
      <b/>
      <sz val="9"/>
      <color rgb="FF000000"/>
      <name val="Arial"/>
      <family val="2"/>
    </font>
    <font>
      <sz val="9"/>
      <color rgb="FF000000"/>
      <name val="Arial"/>
      <family val="2"/>
    </font>
    <font>
      <b/>
      <i/>
      <sz val="10"/>
      <color rgb="FF000000"/>
      <name val="Arial"/>
      <family val="2"/>
    </font>
    <font>
      <sz val="10"/>
      <color rgb="FF000000"/>
      <name val="Arial"/>
      <family val="2"/>
    </font>
    <font>
      <b/>
      <sz val="10"/>
      <color rgb="FF000000"/>
      <name val="Arial"/>
      <family val="2"/>
    </font>
    <font>
      <i/>
      <sz val="8"/>
      <color rgb="FF000000"/>
      <name val="Arial"/>
      <family val="2"/>
    </font>
    <font>
      <b/>
      <sz val="18"/>
      <color theme="1"/>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sz val="11"/>
      <name val="Calibri"/>
      <family val="2"/>
      <scheme val="minor"/>
    </font>
    <font>
      <sz val="14"/>
      <color theme="9" tint="-0.499984740745262"/>
      <name val="Calibri"/>
      <family val="2"/>
      <scheme val="minor"/>
    </font>
    <font>
      <sz val="11"/>
      <color theme="9" tint="-0.499984740745262"/>
      <name val="Calibri"/>
      <family val="2"/>
      <scheme val="minor"/>
    </font>
    <font>
      <b/>
      <sz val="14"/>
      <color theme="9" tint="-0.499984740745262"/>
      <name val="Calibri"/>
      <family val="2"/>
      <scheme val="minor"/>
    </font>
    <font>
      <sz val="14"/>
      <color rgb="FFC00000"/>
      <name val="Calibri"/>
      <family val="2"/>
      <scheme val="minor"/>
    </font>
    <font>
      <sz val="24"/>
      <color theme="9" tint="-0.499984740745262"/>
      <name val="Calibri"/>
      <family val="2"/>
      <scheme val="minor"/>
    </font>
    <font>
      <sz val="18"/>
      <color theme="9" tint="-0.499984740745262"/>
      <name val="Calibri"/>
      <family val="2"/>
      <scheme val="minor"/>
    </font>
    <font>
      <sz val="18"/>
      <color theme="0"/>
      <name val="Calibri"/>
      <family val="2"/>
      <scheme val="minor"/>
    </font>
    <font>
      <u/>
      <sz val="14"/>
      <color theme="10"/>
      <name val="Calibri"/>
      <family val="2"/>
      <scheme val="minor"/>
    </font>
    <font>
      <sz val="14"/>
      <color theme="9" tint="-0.499984740745262"/>
      <name val="Calibri (Body)"/>
    </font>
    <font>
      <b/>
      <sz val="24"/>
      <color theme="9" tint="-0.499984740745262"/>
      <name val="Calibri"/>
      <family val="2"/>
      <scheme val="minor"/>
    </font>
    <font>
      <sz val="16"/>
      <color theme="9" tint="-0.499984740745262"/>
      <name val="Calibri"/>
      <family val="2"/>
      <scheme val="minor"/>
    </font>
    <font>
      <sz val="16"/>
      <color theme="1"/>
      <name val="Calibri"/>
      <family val="2"/>
      <scheme val="minor"/>
    </font>
    <font>
      <b/>
      <sz val="16"/>
      <color theme="9" tint="-0.499984740745262"/>
      <name val="Calibri"/>
      <family val="2"/>
      <scheme val="minor"/>
    </font>
    <font>
      <b/>
      <sz val="20"/>
      <color theme="9" tint="-0.499984740745262"/>
      <name val="Calibri"/>
      <family val="2"/>
      <scheme val="minor"/>
    </font>
    <font>
      <b/>
      <sz val="18"/>
      <color theme="9" tint="-0.499984740745262"/>
      <name val="Calibri"/>
      <family val="2"/>
      <scheme val="minor"/>
    </font>
    <font>
      <b/>
      <sz val="16"/>
      <color theme="0"/>
      <name val="Calibri"/>
      <family val="2"/>
      <scheme val="minor"/>
    </font>
    <font>
      <b/>
      <sz val="18"/>
      <color theme="0"/>
      <name val="Calibri"/>
      <family val="2"/>
      <scheme val="minor"/>
    </font>
    <font>
      <vertAlign val="subscript"/>
      <sz val="16"/>
      <color theme="9" tint="-0.499984740745262"/>
      <name val="Calibri (Body)"/>
    </font>
    <font>
      <b/>
      <sz val="16"/>
      <color rgb="FFC00000"/>
      <name val="Calibri"/>
      <family val="2"/>
      <scheme val="minor"/>
    </font>
    <font>
      <b/>
      <sz val="16"/>
      <name val="Calibri"/>
      <family val="2"/>
      <scheme val="minor"/>
    </font>
    <font>
      <sz val="20"/>
      <color theme="1"/>
      <name val="Calibri"/>
      <family val="2"/>
      <scheme val="minor"/>
    </font>
    <font>
      <sz val="10"/>
      <color theme="1"/>
      <name val="Arial"/>
      <family val="2"/>
    </font>
    <font>
      <b/>
      <sz val="10"/>
      <color theme="1"/>
      <name val="Arial"/>
      <family val="2"/>
    </font>
    <font>
      <sz val="10"/>
      <name val="Arial"/>
      <family val="2"/>
    </font>
    <font>
      <b/>
      <sz val="12"/>
      <color theme="1"/>
      <name val="Arial"/>
      <family val="2"/>
    </font>
    <font>
      <b/>
      <sz val="11"/>
      <color theme="1"/>
      <name val="Arial"/>
      <family val="2"/>
    </font>
    <font>
      <b/>
      <sz val="10"/>
      <name val="Arial"/>
      <family val="2"/>
    </font>
    <font>
      <sz val="14"/>
      <name val="Arial"/>
      <family val="2"/>
    </font>
    <font>
      <sz val="10"/>
      <color rgb="FFFF0000"/>
      <name val="Arial"/>
      <family val="2"/>
    </font>
    <font>
      <b/>
      <sz val="14"/>
      <color theme="0"/>
      <name val="Calibri"/>
      <family val="2"/>
      <scheme val="minor"/>
    </font>
    <font>
      <b/>
      <sz val="11"/>
      <color rgb="FFC00000"/>
      <name val="Calibri"/>
      <family val="2"/>
      <scheme val="minor"/>
    </font>
    <font>
      <sz val="24"/>
      <color theme="9" tint="-0.249977111117893"/>
      <name val="Calibri"/>
      <family val="2"/>
      <scheme val="minor"/>
    </font>
    <font>
      <sz val="11"/>
      <color theme="9" tint="-0.249977111117893"/>
      <name val="Calibri"/>
      <family val="2"/>
      <scheme val="minor"/>
    </font>
    <font>
      <sz val="12"/>
      <color theme="9" tint="-0.499984740745262"/>
      <name val="Calibri"/>
      <family val="2"/>
      <scheme val="minor"/>
    </font>
    <font>
      <b/>
      <sz val="18"/>
      <color rgb="FFC00000"/>
      <name val="Calibri"/>
      <family val="2"/>
      <scheme val="minor"/>
    </font>
    <font>
      <sz val="20"/>
      <color theme="0"/>
      <name val="Arial"/>
      <family val="2"/>
    </font>
    <font>
      <sz val="10"/>
      <color rgb="FFC00000"/>
      <name val="Arial"/>
      <family val="2"/>
    </font>
  </fonts>
  <fills count="21">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s>
  <cellStyleXfs count="6">
    <xf numFmtId="0" fontId="0" fillId="0" borderId="0"/>
    <xf numFmtId="44" fontId="3" fillId="0" borderId="0" applyFon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517">
    <xf numFmtId="0" fontId="0" fillId="0" borderId="0" xfId="0"/>
    <xf numFmtId="0" fontId="0" fillId="0" borderId="1" xfId="0" applyBorder="1"/>
    <xf numFmtId="0" fontId="0" fillId="0" borderId="0" xfId="0" applyBorder="1"/>
    <xf numFmtId="0" fontId="0" fillId="0" borderId="0" xfId="0" applyFill="1" applyBorder="1"/>
    <xf numFmtId="0" fontId="7" fillId="8" borderId="13" xfId="0" applyFont="1" applyFill="1" applyBorder="1" applyAlignment="1">
      <alignment horizontal="center" wrapText="1"/>
    </xf>
    <xf numFmtId="0" fontId="7" fillId="8" borderId="1" xfId="0" applyFont="1" applyFill="1" applyBorder="1" applyAlignment="1">
      <alignment horizontal="center" wrapText="1"/>
    </xf>
    <xf numFmtId="0" fontId="8" fillId="0" borderId="13" xfId="0" applyFont="1" applyBorder="1" applyAlignment="1">
      <alignment horizontal="right"/>
    </xf>
    <xf numFmtId="2" fontId="8" fillId="0" borderId="1" xfId="0" applyNumberFormat="1" applyFont="1" applyBorder="1" applyAlignment="1">
      <alignment horizontal="center"/>
    </xf>
    <xf numFmtId="0" fontId="8" fillId="0" borderId="1" xfId="0" applyFont="1" applyBorder="1"/>
    <xf numFmtId="0" fontId="8" fillId="0" borderId="1" xfId="0" applyFont="1" applyBorder="1" applyAlignment="1">
      <alignment horizontal="center"/>
    </xf>
    <xf numFmtId="0" fontId="8" fillId="0" borderId="1" xfId="0" applyFont="1" applyBorder="1" applyAlignment="1">
      <alignment horizontal="right"/>
    </xf>
    <xf numFmtId="1" fontId="8" fillId="0" borderId="1" xfId="0" applyNumberFormat="1" applyFont="1" applyBorder="1" applyAlignment="1">
      <alignment horizontal="center"/>
    </xf>
    <xf numFmtId="0" fontId="8" fillId="9" borderId="1" xfId="0" applyFont="1" applyFill="1" applyBorder="1" applyAlignment="1">
      <alignment horizontal="center"/>
    </xf>
    <xf numFmtId="0" fontId="8" fillId="9" borderId="1" xfId="0" applyFont="1" applyFill="1" applyBorder="1"/>
    <xf numFmtId="0" fontId="8" fillId="9" borderId="1" xfId="0" applyFont="1" applyFill="1" applyBorder="1" applyAlignment="1">
      <alignment horizontal="right"/>
    </xf>
    <xf numFmtId="1" fontId="8" fillId="9" borderId="1" xfId="0" applyNumberFormat="1" applyFont="1" applyFill="1" applyBorder="1" applyAlignment="1">
      <alignment horizontal="center"/>
    </xf>
    <xf numFmtId="0" fontId="7" fillId="0" borderId="0" xfId="0" applyFont="1" applyAlignment="1">
      <alignment horizontal="right"/>
    </xf>
    <xf numFmtId="0" fontId="8" fillId="0" borderId="0" xfId="0" applyFont="1"/>
    <xf numFmtId="0" fontId="0" fillId="0" borderId="0" xfId="0" applyAlignment="1">
      <alignment horizontal="center"/>
    </xf>
    <xf numFmtId="0" fontId="9" fillId="0" borderId="2" xfId="0" applyFont="1" applyBorder="1" applyAlignment="1">
      <alignment horizontal="right"/>
    </xf>
    <xf numFmtId="2" fontId="9" fillId="0" borderId="12" xfId="0" applyNumberFormat="1" applyFont="1" applyBorder="1" applyAlignment="1">
      <alignment horizontal="center"/>
    </xf>
    <xf numFmtId="0" fontId="10" fillId="0" borderId="13" xfId="0" applyFont="1" applyBorder="1" applyAlignment="1">
      <alignment horizontal="center"/>
    </xf>
    <xf numFmtId="0" fontId="10" fillId="0" borderId="0" xfId="0" applyFont="1"/>
    <xf numFmtId="0" fontId="9" fillId="10" borderId="2" xfId="0" applyFont="1" applyFill="1" applyBorder="1" applyAlignment="1">
      <alignment horizontal="right"/>
    </xf>
    <xf numFmtId="2" fontId="9" fillId="10" borderId="12" xfId="0" applyNumberFormat="1" applyFont="1" applyFill="1" applyBorder="1" applyAlignment="1">
      <alignment horizontal="center"/>
    </xf>
    <xf numFmtId="2" fontId="9" fillId="10" borderId="12" xfId="0" applyNumberFormat="1" applyFont="1" applyFill="1" applyBorder="1" applyAlignment="1">
      <alignment horizontal="left"/>
    </xf>
    <xf numFmtId="0" fontId="0" fillId="10" borderId="13" xfId="0" applyFill="1" applyBorder="1"/>
    <xf numFmtId="0" fontId="6" fillId="0" borderId="0" xfId="0" applyFont="1" applyAlignment="1">
      <alignment vertical="center"/>
    </xf>
    <xf numFmtId="0" fontId="12" fillId="0" borderId="0" xfId="0" applyFont="1"/>
    <xf numFmtId="0" fontId="8" fillId="11" borderId="13" xfId="0" applyFont="1" applyFill="1" applyBorder="1" applyAlignment="1">
      <alignment horizontal="right"/>
    </xf>
    <xf numFmtId="0" fontId="8" fillId="11" borderId="1" xfId="0" applyFont="1" applyFill="1" applyBorder="1" applyAlignment="1">
      <alignment horizontal="center"/>
    </xf>
    <xf numFmtId="0" fontId="8" fillId="11" borderId="1" xfId="0" applyFont="1" applyFill="1" applyBorder="1"/>
    <xf numFmtId="1" fontId="8" fillId="11" borderId="1" xfId="0" applyNumberFormat="1" applyFont="1" applyFill="1" applyBorder="1" applyAlignment="1">
      <alignment horizontal="center"/>
    </xf>
    <xf numFmtId="0" fontId="6" fillId="0" borderId="0" xfId="0" applyFont="1"/>
    <xf numFmtId="0" fontId="8" fillId="12" borderId="13" xfId="0" applyFont="1" applyFill="1" applyBorder="1" applyAlignment="1">
      <alignment horizontal="right"/>
    </xf>
    <xf numFmtId="0" fontId="8" fillId="12" borderId="1" xfId="0" applyFont="1" applyFill="1" applyBorder="1"/>
    <xf numFmtId="0" fontId="8" fillId="12" borderId="1" xfId="0" applyFont="1" applyFill="1" applyBorder="1" applyAlignment="1">
      <alignment horizontal="center"/>
    </xf>
    <xf numFmtId="0" fontId="4" fillId="0" borderId="1" xfId="0" applyFont="1" applyBorder="1"/>
    <xf numFmtId="44" fontId="0" fillId="0" borderId="1" xfId="1" applyFont="1" applyBorder="1"/>
    <xf numFmtId="44" fontId="4" fillId="0" borderId="1" xfId="1" applyFont="1" applyBorder="1"/>
    <xf numFmtId="0" fontId="4" fillId="5" borderId="1" xfId="0" applyFont="1" applyFill="1" applyBorder="1" applyAlignment="1">
      <alignment horizontal="center"/>
    </xf>
    <xf numFmtId="44" fontId="4" fillId="5" borderId="1" xfId="0" applyNumberFormat="1" applyFont="1" applyFill="1" applyBorder="1"/>
    <xf numFmtId="0" fontId="0" fillId="0" borderId="0" xfId="0" applyFill="1"/>
    <xf numFmtId="0" fontId="8" fillId="2" borderId="13" xfId="0" applyFont="1" applyFill="1" applyBorder="1" applyAlignment="1">
      <alignment horizontal="right"/>
    </xf>
    <xf numFmtId="2" fontId="8" fillId="2" borderId="1" xfId="0" applyNumberFormat="1" applyFont="1" applyFill="1" applyBorder="1" applyAlignment="1">
      <alignment horizontal="center"/>
    </xf>
    <xf numFmtId="0" fontId="8" fillId="2" borderId="1" xfId="0" applyFont="1" applyFill="1" applyBorder="1"/>
    <xf numFmtId="0" fontId="8" fillId="2" borderId="1" xfId="0" applyFont="1" applyFill="1" applyBorder="1" applyAlignment="1">
      <alignment horizontal="center"/>
    </xf>
    <xf numFmtId="44" fontId="4" fillId="0" borderId="1" xfId="1" applyFont="1" applyFill="1" applyBorder="1"/>
    <xf numFmtId="44" fontId="0" fillId="0" borderId="1" xfId="1" applyFont="1" applyFill="1" applyBorder="1"/>
    <xf numFmtId="9" fontId="0" fillId="0" borderId="1" xfId="3" applyFont="1" applyBorder="1"/>
    <xf numFmtId="0" fontId="4" fillId="15" borderId="1" xfId="0" applyFont="1" applyFill="1" applyBorder="1" applyAlignment="1">
      <alignment wrapText="1"/>
    </xf>
    <xf numFmtId="0" fontId="4" fillId="15" borderId="1" xfId="0" applyFont="1" applyFill="1" applyBorder="1"/>
    <xf numFmtId="0" fontId="4" fillId="12" borderId="1" xfId="0" applyFont="1" applyFill="1" applyBorder="1" applyAlignment="1">
      <alignment wrapText="1"/>
    </xf>
    <xf numFmtId="0" fontId="4" fillId="6" borderId="1" xfId="0" applyFont="1" applyFill="1" applyBorder="1" applyAlignment="1">
      <alignment wrapText="1"/>
    </xf>
    <xf numFmtId="0" fontId="2" fillId="15" borderId="0" xfId="0" applyFont="1" applyFill="1"/>
    <xf numFmtId="0" fontId="0" fillId="0" borderId="10" xfId="0" applyBorder="1"/>
    <xf numFmtId="0" fontId="0" fillId="0" borderId="14" xfId="0" applyBorder="1"/>
    <xf numFmtId="0" fontId="4" fillId="0" borderId="10" xfId="0" applyFont="1" applyBorder="1" applyAlignment="1">
      <alignment wrapText="1"/>
    </xf>
    <xf numFmtId="2" fontId="0" fillId="0" borderId="11" xfId="0" applyNumberFormat="1" applyBorder="1" applyAlignment="1">
      <alignment horizontal="center" vertical="center"/>
    </xf>
    <xf numFmtId="3" fontId="0" fillId="0" borderId="1" xfId="0" applyNumberFormat="1" applyBorder="1"/>
    <xf numFmtId="0" fontId="13" fillId="0" borderId="17" xfId="0" applyFont="1" applyBorder="1"/>
    <xf numFmtId="0" fontId="13" fillId="0" borderId="18" xfId="0" applyFont="1" applyBorder="1"/>
    <xf numFmtId="0" fontId="0" fillId="0" borderId="18" xfId="0" applyBorder="1"/>
    <xf numFmtId="0" fontId="0" fillId="0" borderId="19" xfId="0" applyBorder="1"/>
    <xf numFmtId="0" fontId="0" fillId="0" borderId="20" xfId="0" applyBorder="1"/>
    <xf numFmtId="0" fontId="0" fillId="0" borderId="21" xfId="0" applyBorder="1"/>
    <xf numFmtId="0" fontId="4" fillId="15" borderId="4" xfId="0" applyFont="1" applyFill="1" applyBorder="1" applyAlignment="1">
      <alignment wrapText="1"/>
    </xf>
    <xf numFmtId="0" fontId="0" fillId="0" borderId="4" xfId="0" applyBorder="1"/>
    <xf numFmtId="0" fontId="4" fillId="6" borderId="4" xfId="0" applyFont="1" applyFill="1" applyBorder="1" applyAlignment="1">
      <alignment wrapText="1"/>
    </xf>
    <xf numFmtId="2" fontId="0" fillId="0" borderId="22" xfId="0" applyNumberFormat="1" applyBorder="1" applyAlignment="1">
      <alignment horizontal="center" vertical="center"/>
    </xf>
    <xf numFmtId="0" fontId="4" fillId="0" borderId="4" xfId="0" applyFont="1" applyBorder="1"/>
    <xf numFmtId="0" fontId="4" fillId="0" borderId="20" xfId="0" applyFont="1" applyBorder="1"/>
    <xf numFmtId="0" fontId="0" fillId="0" borderId="21" xfId="0" applyBorder="1" applyAlignment="1">
      <alignment wrapText="1"/>
    </xf>
    <xf numFmtId="0" fontId="4" fillId="12" borderId="4" xfId="0" applyFont="1" applyFill="1" applyBorder="1" applyAlignment="1">
      <alignment wrapText="1"/>
    </xf>
    <xf numFmtId="0" fontId="5" fillId="0" borderId="20" xfId="2" applyBorder="1"/>
    <xf numFmtId="0" fontId="0" fillId="0" borderId="23" xfId="0" applyBorder="1"/>
    <xf numFmtId="0" fontId="0" fillId="0" borderId="9" xfId="0" applyBorder="1"/>
    <xf numFmtId="0" fontId="0" fillId="0" borderId="24" xfId="0" applyBorder="1"/>
    <xf numFmtId="9" fontId="0" fillId="0" borderId="0" xfId="3" applyFont="1" applyFill="1" applyBorder="1"/>
    <xf numFmtId="44" fontId="0" fillId="0" borderId="0" xfId="1" applyFont="1" applyFill="1" applyBorder="1"/>
    <xf numFmtId="0" fontId="4" fillId="5" borderId="2" xfId="0" applyFont="1" applyFill="1" applyBorder="1" applyAlignment="1">
      <alignment horizontal="center"/>
    </xf>
    <xf numFmtId="44" fontId="4" fillId="5" borderId="2" xfId="0" applyNumberFormat="1" applyFont="1" applyFill="1" applyBorder="1"/>
    <xf numFmtId="0" fontId="4" fillId="0" borderId="0" xfId="0" applyFont="1"/>
    <xf numFmtId="0" fontId="2" fillId="15" borderId="1" xfId="0" applyFont="1" applyFill="1" applyBorder="1"/>
    <xf numFmtId="44" fontId="0" fillId="0" borderId="9" xfId="0" applyNumberFormat="1" applyBorder="1"/>
    <xf numFmtId="0" fontId="13" fillId="0" borderId="26" xfId="0" applyFont="1" applyBorder="1"/>
    <xf numFmtId="0" fontId="0" fillId="0" borderId="10" xfId="0" applyBorder="1" applyAlignment="1">
      <alignment wrapText="1"/>
    </xf>
    <xf numFmtId="0" fontId="4" fillId="0" borderId="20" xfId="0" applyFont="1" applyBorder="1" applyAlignment="1">
      <alignment wrapText="1"/>
    </xf>
    <xf numFmtId="0" fontId="0" fillId="0" borderId="0" xfId="0" applyAlignment="1">
      <alignment wrapText="1"/>
    </xf>
    <xf numFmtId="0" fontId="0" fillId="0" borderId="0" xfId="0" applyFont="1" applyAlignment="1">
      <alignment wrapText="1"/>
    </xf>
    <xf numFmtId="0" fontId="18" fillId="0" borderId="1" xfId="0" applyFont="1" applyBorder="1"/>
    <xf numFmtId="0" fontId="18" fillId="0" borderId="1" xfId="0" applyFont="1" applyFill="1" applyBorder="1"/>
    <xf numFmtId="44" fontId="16" fillId="0" borderId="1" xfId="1" applyFont="1" applyBorder="1"/>
    <xf numFmtId="44" fontId="16" fillId="0" borderId="1" xfId="1" applyFont="1" applyFill="1" applyBorder="1"/>
    <xf numFmtId="2" fontId="4" fillId="6" borderId="1" xfId="0" applyNumberFormat="1" applyFont="1" applyFill="1" applyBorder="1"/>
    <xf numFmtId="2" fontId="4" fillId="0" borderId="5" xfId="0" applyNumberFormat="1" applyFont="1" applyBorder="1"/>
    <xf numFmtId="0" fontId="4" fillId="0" borderId="1" xfId="0" applyFont="1" applyBorder="1" applyAlignment="1">
      <alignment horizontal="center"/>
    </xf>
    <xf numFmtId="2" fontId="4" fillId="0" borderId="4" xfId="0" applyNumberFormat="1" applyFont="1" applyBorder="1" applyAlignment="1">
      <alignment horizontal="center"/>
    </xf>
    <xf numFmtId="2" fontId="4" fillId="0" borderId="1" xfId="0" applyNumberFormat="1" applyFont="1" applyBorder="1" applyAlignment="1">
      <alignment horizontal="center"/>
    </xf>
    <xf numFmtId="0" fontId="0" fillId="0" borderId="2" xfId="0" applyBorder="1" applyAlignment="1">
      <alignment horizontal="center"/>
    </xf>
    <xf numFmtId="2" fontId="4" fillId="0" borderId="2" xfId="0" applyNumberFormat="1" applyFont="1" applyBorder="1" applyAlignment="1">
      <alignment horizontal="center"/>
    </xf>
    <xf numFmtId="2" fontId="4" fillId="0" borderId="10" xfId="0" applyNumberFormat="1" applyFont="1" applyBorder="1" applyAlignment="1">
      <alignment horizontal="center"/>
    </xf>
    <xf numFmtId="0" fontId="2" fillId="0" borderId="1" xfId="0" applyFont="1" applyBorder="1" applyAlignment="1">
      <alignment horizontal="center" wrapText="1"/>
    </xf>
    <xf numFmtId="3" fontId="0" fillId="2" borderId="4" xfId="0" applyNumberFormat="1" applyFill="1" applyBorder="1"/>
    <xf numFmtId="0" fontId="0" fillId="2" borderId="1" xfId="0" applyFill="1" applyBorder="1"/>
    <xf numFmtId="44" fontId="16" fillId="0" borderId="1" xfId="0" applyNumberFormat="1" applyFont="1" applyFill="1" applyBorder="1"/>
    <xf numFmtId="0" fontId="19" fillId="3" borderId="0" xfId="0" applyFont="1" applyFill="1" applyBorder="1" applyAlignment="1">
      <alignment horizontal="center" wrapText="1"/>
    </xf>
    <xf numFmtId="0" fontId="0" fillId="12" borderId="1" xfId="0" applyFill="1" applyBorder="1"/>
    <xf numFmtId="0" fontId="0" fillId="13" borderId="9" xfId="0" applyFill="1" applyBorder="1"/>
    <xf numFmtId="0" fontId="23" fillId="13" borderId="9" xfId="0" applyFont="1" applyFill="1" applyBorder="1" applyAlignment="1">
      <alignment wrapText="1"/>
    </xf>
    <xf numFmtId="1" fontId="24" fillId="13" borderId="9" xfId="0" applyNumberFormat="1" applyFont="1" applyFill="1" applyBorder="1" applyAlignment="1">
      <alignment horizontal="center"/>
    </xf>
    <xf numFmtId="44" fontId="21" fillId="13" borderId="9" xfId="1" applyFont="1" applyFill="1" applyBorder="1" applyAlignment="1">
      <alignment wrapText="1"/>
    </xf>
    <xf numFmtId="0" fontId="0" fillId="13" borderId="0" xfId="0" applyFill="1" applyBorder="1"/>
    <xf numFmtId="0" fontId="0" fillId="13" borderId="18" xfId="0" applyFill="1" applyBorder="1"/>
    <xf numFmtId="0" fontId="0" fillId="13" borderId="19" xfId="0" applyFill="1" applyBorder="1"/>
    <xf numFmtId="0" fontId="0" fillId="13" borderId="21" xfId="0" applyFill="1" applyBorder="1"/>
    <xf numFmtId="0" fontId="0" fillId="13" borderId="0" xfId="0" applyFont="1" applyFill="1" applyBorder="1" applyAlignment="1">
      <alignment wrapText="1"/>
    </xf>
    <xf numFmtId="0" fontId="18" fillId="13" borderId="23" xfId="0" applyFont="1" applyFill="1" applyBorder="1" applyAlignment="1">
      <alignment wrapText="1"/>
    </xf>
    <xf numFmtId="0" fontId="0" fillId="13" borderId="24" xfId="0" applyFill="1" applyBorder="1"/>
    <xf numFmtId="0" fontId="0" fillId="3" borderId="0" xfId="0" applyFill="1" applyBorder="1"/>
    <xf numFmtId="0" fontId="0" fillId="3" borderId="21" xfId="0" applyFill="1" applyBorder="1"/>
    <xf numFmtId="0" fontId="0" fillId="3" borderId="20" xfId="0" applyFill="1" applyBorder="1" applyAlignment="1">
      <alignment wrapText="1"/>
    </xf>
    <xf numFmtId="0" fontId="0" fillId="3" borderId="0" xfId="0" applyFont="1" applyFill="1" applyBorder="1" applyAlignment="1">
      <alignment wrapText="1"/>
    </xf>
    <xf numFmtId="0" fontId="20" fillId="3" borderId="20" xfId="0" applyFont="1" applyFill="1" applyBorder="1" applyAlignment="1">
      <alignment wrapText="1"/>
    </xf>
    <xf numFmtId="0" fontId="4" fillId="0" borderId="0" xfId="0" applyFont="1" applyAlignment="1">
      <alignment horizontal="center"/>
    </xf>
    <xf numFmtId="6" fontId="0" fillId="0" borderId="0" xfId="0" applyNumberFormat="1"/>
    <xf numFmtId="0" fontId="18" fillId="3" borderId="0" xfId="0" applyFont="1" applyFill="1" applyBorder="1" applyAlignment="1">
      <alignment wrapText="1"/>
    </xf>
    <xf numFmtId="6" fontId="0" fillId="0" borderId="1" xfId="0" applyNumberFormat="1" applyBorder="1" applyAlignment="1">
      <alignment horizontal="right"/>
    </xf>
    <xf numFmtId="6" fontId="0" fillId="0" borderId="1" xfId="0" applyNumberFormat="1" applyBorder="1"/>
    <xf numFmtId="0" fontId="0" fillId="0" borderId="1" xfId="0" applyBorder="1" applyAlignment="1">
      <alignment horizontal="right"/>
    </xf>
    <xf numFmtId="1" fontId="24" fillId="3" borderId="0" xfId="0" applyNumberFormat="1" applyFont="1" applyFill="1" applyBorder="1" applyAlignment="1">
      <alignment horizontal="center" wrapText="1"/>
    </xf>
    <xf numFmtId="0" fontId="2" fillId="3" borderId="0" xfId="0" applyFont="1" applyFill="1" applyBorder="1" applyAlignment="1">
      <alignment horizontal="center" wrapText="1"/>
    </xf>
    <xf numFmtId="44" fontId="24" fillId="3" borderId="0" xfId="1" applyFont="1" applyFill="1" applyBorder="1" applyAlignment="1">
      <alignment horizontal="center" wrapText="1"/>
    </xf>
    <xf numFmtId="0" fontId="19" fillId="3" borderId="0" xfId="0" applyFont="1" applyFill="1" applyBorder="1" applyAlignment="1">
      <alignment horizontal="left"/>
    </xf>
    <xf numFmtId="0" fontId="19" fillId="13" borderId="0" xfId="0" applyFont="1" applyFill="1" applyBorder="1"/>
    <xf numFmtId="0" fontId="19" fillId="13" borderId="0" xfId="0" applyFont="1" applyFill="1" applyBorder="1" applyAlignment="1">
      <alignment wrapText="1"/>
    </xf>
    <xf numFmtId="0" fontId="23" fillId="3" borderId="0" xfId="0" applyFont="1" applyFill="1" applyBorder="1" applyAlignment="1">
      <alignment wrapText="1"/>
    </xf>
    <xf numFmtId="1" fontId="24" fillId="3" borderId="0" xfId="0" applyNumberFormat="1" applyFont="1" applyFill="1" applyBorder="1" applyAlignment="1">
      <alignment horizontal="center"/>
    </xf>
    <xf numFmtId="0" fontId="30" fillId="3" borderId="0" xfId="0" applyFont="1" applyFill="1" applyBorder="1" applyAlignment="1">
      <alignment horizontal="left"/>
    </xf>
    <xf numFmtId="0" fontId="0" fillId="3" borderId="15" xfId="0" applyFill="1" applyBorder="1"/>
    <xf numFmtId="0" fontId="0" fillId="3" borderId="30" xfId="0" applyFill="1" applyBorder="1"/>
    <xf numFmtId="0" fontId="19" fillId="13" borderId="18" xfId="0" applyFont="1" applyFill="1" applyBorder="1"/>
    <xf numFmtId="0" fontId="19" fillId="13" borderId="20" xfId="0" applyFont="1" applyFill="1" applyBorder="1" applyAlignment="1">
      <alignment wrapText="1"/>
    </xf>
    <xf numFmtId="0" fontId="0" fillId="3" borderId="20" xfId="0" applyFill="1" applyBorder="1"/>
    <xf numFmtId="0" fontId="0" fillId="3" borderId="24" xfId="0" applyFill="1" applyBorder="1"/>
    <xf numFmtId="0" fontId="19" fillId="3" borderId="0" xfId="0" applyFont="1" applyFill="1" applyBorder="1" applyAlignment="1">
      <alignment vertical="top"/>
    </xf>
    <xf numFmtId="0" fontId="0" fillId="19" borderId="0" xfId="0" applyFill="1"/>
    <xf numFmtId="1" fontId="24" fillId="16" borderId="1" xfId="0" applyNumberFormat="1" applyFont="1" applyFill="1" applyBorder="1" applyAlignment="1">
      <alignment horizontal="center" vertical="center" wrapText="1"/>
    </xf>
    <xf numFmtId="44" fontId="16" fillId="0" borderId="0" xfId="1" applyFont="1" applyFill="1" applyBorder="1"/>
    <xf numFmtId="44" fontId="16" fillId="0" borderId="0" xfId="0" applyNumberFormat="1" applyFont="1" applyFill="1" applyBorder="1"/>
    <xf numFmtId="0" fontId="20" fillId="0" borderId="0" xfId="0" applyFont="1" applyFill="1" applyBorder="1" applyAlignment="1">
      <alignment horizontal="center"/>
    </xf>
    <xf numFmtId="44" fontId="33" fillId="0" borderId="0" xfId="0" applyNumberFormat="1" applyFont="1" applyFill="1" applyBorder="1" applyAlignment="1">
      <alignment vertical="center"/>
    </xf>
    <xf numFmtId="0" fontId="19" fillId="0" borderId="0" xfId="0" applyFont="1" applyFill="1" applyBorder="1" applyAlignment="1">
      <alignment horizontal="center" vertical="center"/>
    </xf>
    <xf numFmtId="0" fontId="22" fillId="3" borderId="0" xfId="0" applyFont="1" applyFill="1" applyBorder="1" applyAlignment="1">
      <alignment horizontal="center" vertical="center"/>
    </xf>
    <xf numFmtId="0" fontId="20" fillId="3" borderId="0" xfId="0" applyFont="1" applyFill="1" applyBorder="1" applyAlignment="1">
      <alignment horizontal="center"/>
    </xf>
    <xf numFmtId="0" fontId="18" fillId="3" borderId="0" xfId="0" applyFont="1" applyFill="1" applyBorder="1"/>
    <xf numFmtId="0" fontId="33" fillId="3" borderId="0" xfId="0" applyFont="1" applyFill="1" applyBorder="1" applyAlignment="1">
      <alignment vertical="center" wrapText="1"/>
    </xf>
    <xf numFmtId="0" fontId="34" fillId="16" borderId="1" xfId="0" applyFont="1" applyFill="1" applyBorder="1" applyAlignment="1">
      <alignment vertical="center" wrapText="1"/>
    </xf>
    <xf numFmtId="44" fontId="34" fillId="16" borderId="1" xfId="0" applyNumberFormat="1" applyFont="1" applyFill="1" applyBorder="1" applyAlignment="1">
      <alignment vertical="center"/>
    </xf>
    <xf numFmtId="0" fontId="28" fillId="3" borderId="20" xfId="0" applyFont="1" applyFill="1" applyBorder="1" applyAlignment="1">
      <alignment horizontal="center" vertical="center" wrapText="1"/>
    </xf>
    <xf numFmtId="0" fontId="29" fillId="3" borderId="0" xfId="0" applyFont="1" applyFill="1" applyBorder="1" applyAlignment="1">
      <alignment horizontal="center" vertical="center" wrapText="1"/>
    </xf>
    <xf numFmtId="1" fontId="24" fillId="3" borderId="0" xfId="0" applyNumberFormat="1" applyFont="1" applyFill="1" applyBorder="1" applyAlignment="1">
      <alignment horizontal="center" vertical="center" wrapText="1"/>
    </xf>
    <xf numFmtId="0" fontId="0" fillId="0" borderId="0" xfId="0" applyBorder="1" applyAlignment="1">
      <alignment wrapText="1"/>
    </xf>
    <xf numFmtId="0" fontId="0" fillId="0" borderId="0" xfId="0" applyFill="1" applyBorder="1" applyAlignment="1">
      <alignment wrapText="1"/>
    </xf>
    <xf numFmtId="0" fontId="29" fillId="3" borderId="0" xfId="0" applyFont="1" applyFill="1" applyBorder="1" applyAlignment="1">
      <alignment vertical="top" wrapText="1"/>
    </xf>
    <xf numFmtId="0" fontId="36" fillId="3" borderId="0" xfId="0" applyFont="1" applyFill="1" applyBorder="1" applyAlignment="1" applyProtection="1">
      <alignment horizontal="center" vertical="center"/>
      <protection locked="0"/>
    </xf>
    <xf numFmtId="9" fontId="29" fillId="3" borderId="0" xfId="3" applyFont="1" applyFill="1" applyBorder="1" applyAlignment="1">
      <alignment horizontal="center"/>
    </xf>
    <xf numFmtId="44" fontId="29" fillId="3" borderId="0" xfId="1" applyFont="1" applyFill="1" applyBorder="1" applyAlignment="1">
      <alignment horizontal="center"/>
    </xf>
    <xf numFmtId="44" fontId="29" fillId="3" borderId="0" xfId="1" applyFont="1" applyFill="1" applyBorder="1"/>
    <xf numFmtId="44" fontId="0" fillId="0" borderId="0" xfId="1" applyFont="1" applyBorder="1"/>
    <xf numFmtId="0" fontId="0" fillId="15" borderId="0" xfId="0" applyFill="1"/>
    <xf numFmtId="0" fontId="18" fillId="13" borderId="20" xfId="0" applyFont="1" applyFill="1" applyBorder="1" applyAlignment="1">
      <alignment wrapText="1"/>
    </xf>
    <xf numFmtId="0" fontId="39" fillId="0" borderId="0" xfId="0" applyFont="1"/>
    <xf numFmtId="0" fontId="40" fillId="0" borderId="39" xfId="0" applyFont="1" applyBorder="1" applyAlignment="1">
      <alignment horizontal="right"/>
    </xf>
    <xf numFmtId="165" fontId="39" fillId="0" borderId="49" xfId="0" applyNumberFormat="1" applyFont="1" applyBorder="1"/>
    <xf numFmtId="0" fontId="39" fillId="0" borderId="45" xfId="0" applyFont="1" applyBorder="1"/>
    <xf numFmtId="165" fontId="39" fillId="0" borderId="0" xfId="0" applyNumberFormat="1" applyFont="1"/>
    <xf numFmtId="0" fontId="40" fillId="0" borderId="0" xfId="0" applyFont="1"/>
    <xf numFmtId="3" fontId="39" fillId="0" borderId="0" xfId="0" applyNumberFormat="1" applyFont="1"/>
    <xf numFmtId="0" fontId="40" fillId="0" borderId="0" xfId="0" applyFont="1" applyAlignment="1">
      <alignment horizontal="right"/>
    </xf>
    <xf numFmtId="166" fontId="42" fillId="0" borderId="0" xfId="0" applyNumberFormat="1" applyFont="1"/>
    <xf numFmtId="0" fontId="42" fillId="0" borderId="0" xfId="0" applyFont="1"/>
    <xf numFmtId="165" fontId="40" fillId="14" borderId="1" xfId="0" applyNumberFormat="1" applyFont="1" applyFill="1" applyBorder="1"/>
    <xf numFmtId="0" fontId="39" fillId="0" borderId="0" xfId="0" applyFont="1" applyAlignment="1">
      <alignment horizontal="right"/>
    </xf>
    <xf numFmtId="0" fontId="40" fillId="0" borderId="1" xfId="0" applyFont="1" applyBorder="1"/>
    <xf numFmtId="6" fontId="40" fillId="0" borderId="1" xfId="0" applyNumberFormat="1" applyFont="1" applyBorder="1"/>
    <xf numFmtId="6" fontId="39" fillId="0" borderId="0" xfId="0" applyNumberFormat="1" applyFont="1"/>
    <xf numFmtId="6" fontId="39" fillId="0" borderId="0" xfId="0" applyNumberFormat="1" applyFont="1" applyAlignment="1">
      <alignment horizontal="left"/>
    </xf>
    <xf numFmtId="165" fontId="40" fillId="0" borderId="1" xfId="0" applyNumberFormat="1" applyFont="1" applyBorder="1"/>
    <xf numFmtId="165" fontId="39" fillId="0" borderId="0" xfId="0" applyNumberFormat="1" applyFont="1" applyAlignment="1">
      <alignment horizontal="left"/>
    </xf>
    <xf numFmtId="166" fontId="39" fillId="0" borderId="0" xfId="0" applyNumberFormat="1" applyFont="1"/>
    <xf numFmtId="166" fontId="40" fillId="0" borderId="1" xfId="0" applyNumberFormat="1" applyFont="1" applyBorder="1" applyAlignment="1">
      <alignment horizontal="center"/>
    </xf>
    <xf numFmtId="166" fontId="39" fillId="0" borderId="1" xfId="0" applyNumberFormat="1" applyFont="1" applyBorder="1" applyAlignment="1">
      <alignment horizontal="center"/>
    </xf>
    <xf numFmtId="166" fontId="41" fillId="0" borderId="1" xfId="0" applyNumberFormat="1" applyFont="1" applyBorder="1" applyAlignment="1">
      <alignment horizontal="center"/>
    </xf>
    <xf numFmtId="0" fontId="40" fillId="0" borderId="9" xfId="0" applyFont="1" applyBorder="1" applyAlignment="1">
      <alignment horizontal="right"/>
    </xf>
    <xf numFmtId="166" fontId="39" fillId="0" borderId="51" xfId="0" applyNumberFormat="1" applyFont="1" applyBorder="1" applyAlignment="1">
      <alignment horizontal="center"/>
    </xf>
    <xf numFmtId="0" fontId="40" fillId="5" borderId="0" xfId="0" applyFont="1" applyFill="1" applyAlignment="1">
      <alignment horizontal="right"/>
    </xf>
    <xf numFmtId="44" fontId="43" fillId="5" borderId="8" xfId="1" applyFont="1" applyFill="1" applyBorder="1" applyAlignment="1">
      <alignment horizontal="center"/>
    </xf>
    <xf numFmtId="0" fontId="44" fillId="0" borderId="0" xfId="0" applyFont="1" applyAlignment="1">
      <alignment horizontal="right"/>
    </xf>
    <xf numFmtId="166" fontId="45" fillId="0" borderId="1" xfId="0" applyNumberFormat="1" applyFont="1" applyBorder="1"/>
    <xf numFmtId="165" fontId="46" fillId="0" borderId="0" xfId="0" applyNumberFormat="1" applyFont="1"/>
    <xf numFmtId="165" fontId="39" fillId="0" borderId="51" xfId="0" applyNumberFormat="1" applyFont="1" applyBorder="1"/>
    <xf numFmtId="166" fontId="39" fillId="0" borderId="51" xfId="0" applyNumberFormat="1" applyFont="1" applyBorder="1"/>
    <xf numFmtId="165" fontId="40" fillId="5" borderId="8" xfId="0" applyNumberFormat="1" applyFont="1" applyFill="1" applyBorder="1"/>
    <xf numFmtId="166" fontId="40" fillId="5" borderId="8" xfId="0" applyNumberFormat="1" applyFont="1" applyFill="1" applyBorder="1"/>
    <xf numFmtId="0" fontId="40" fillId="4" borderId="0" xfId="0" applyFont="1" applyFill="1" applyAlignment="1">
      <alignment horizontal="right"/>
    </xf>
    <xf numFmtId="44" fontId="40" fillId="4" borderId="0" xfId="0" applyNumberFormat="1" applyFont="1" applyFill="1"/>
    <xf numFmtId="44" fontId="39" fillId="0" borderId="0" xfId="0" applyNumberFormat="1" applyFont="1"/>
    <xf numFmtId="0" fontId="40" fillId="14" borderId="0" xfId="0" applyFont="1" applyFill="1" applyAlignment="1">
      <alignment horizontal="right"/>
    </xf>
    <xf numFmtId="44" fontId="40" fillId="14" borderId="0" xfId="0" applyNumberFormat="1" applyFont="1" applyFill="1"/>
    <xf numFmtId="0" fontId="20" fillId="13" borderId="20" xfId="0" applyFont="1" applyFill="1" applyBorder="1" applyAlignment="1">
      <alignment wrapText="1"/>
    </xf>
    <xf numFmtId="0" fontId="18" fillId="13" borderId="0" xfId="0" applyFont="1" applyFill="1" applyBorder="1" applyAlignment="1">
      <alignment wrapText="1"/>
    </xf>
    <xf numFmtId="0" fontId="29" fillId="3" borderId="0" xfId="0" applyFont="1" applyFill="1" applyBorder="1" applyAlignment="1">
      <alignment horizontal="left" vertical="center" wrapText="1"/>
    </xf>
    <xf numFmtId="0" fontId="18" fillId="0" borderId="1" xfId="0" applyFont="1" applyFill="1" applyBorder="1" applyAlignment="1">
      <alignment wrapText="1"/>
    </xf>
    <xf numFmtId="0" fontId="18" fillId="3" borderId="0" xfId="0" applyFont="1" applyFill="1" applyBorder="1" applyAlignment="1">
      <alignment horizontal="center" vertical="center" wrapText="1"/>
    </xf>
    <xf numFmtId="0" fontId="18" fillId="0" borderId="4" xfId="0" applyFont="1" applyFill="1" applyBorder="1" applyAlignment="1">
      <alignment vertical="center" wrapText="1"/>
    </xf>
    <xf numFmtId="0" fontId="18" fillId="2" borderId="1" xfId="0" applyFont="1" applyFill="1" applyBorder="1" applyAlignment="1">
      <alignment vertical="center" wrapText="1"/>
    </xf>
    <xf numFmtId="0" fontId="25" fillId="0" borderId="4" xfId="2" applyFont="1" applyFill="1" applyBorder="1" applyAlignment="1">
      <alignment vertical="center" wrapText="1"/>
    </xf>
    <xf numFmtId="0" fontId="25" fillId="2" borderId="1" xfId="2" applyFont="1" applyFill="1" applyBorder="1" applyAlignment="1">
      <alignment vertical="center" wrapText="1"/>
    </xf>
    <xf numFmtId="1" fontId="47" fillId="16" borderId="1" xfId="0" applyNumberFormat="1" applyFont="1" applyFill="1" applyBorder="1" applyAlignment="1">
      <alignment horizontal="right" vertical="center"/>
    </xf>
    <xf numFmtId="164" fontId="47" fillId="16" borderId="1" xfId="1" applyNumberFormat="1" applyFont="1" applyFill="1" applyBorder="1" applyAlignment="1">
      <alignment horizontal="right" vertical="center"/>
    </xf>
    <xf numFmtId="0" fontId="21" fillId="8" borderId="1" xfId="0" applyFont="1" applyFill="1" applyBorder="1" applyAlignment="1">
      <alignment vertical="center" wrapText="1"/>
    </xf>
    <xf numFmtId="0" fontId="20" fillId="13" borderId="20" xfId="0" applyFont="1" applyFill="1" applyBorder="1" applyAlignment="1">
      <alignment vertical="center" wrapText="1"/>
    </xf>
    <xf numFmtId="0" fontId="0" fillId="13" borderId="0" xfId="0" applyFont="1" applyFill="1" applyBorder="1" applyAlignment="1">
      <alignment vertical="center" wrapText="1"/>
    </xf>
    <xf numFmtId="0" fontId="26" fillId="0" borderId="4" xfId="2" applyFont="1" applyFill="1" applyBorder="1" applyAlignment="1">
      <alignment vertical="center" wrapText="1"/>
    </xf>
    <xf numFmtId="0" fontId="18" fillId="0" borderId="13" xfId="0" applyFont="1" applyFill="1" applyBorder="1" applyAlignment="1">
      <alignment vertical="center" wrapText="1"/>
    </xf>
    <xf numFmtId="0" fontId="0" fillId="3" borderId="0" xfId="0" applyFill="1" applyBorder="1" applyAlignment="1">
      <alignment vertical="center"/>
    </xf>
    <xf numFmtId="0" fontId="20" fillId="3" borderId="20" xfId="0" applyFont="1" applyFill="1" applyBorder="1" applyAlignment="1">
      <alignment vertical="center" wrapText="1"/>
    </xf>
    <xf numFmtId="0" fontId="21" fillId="3" borderId="0" xfId="0" applyFont="1" applyFill="1" applyBorder="1" applyAlignment="1">
      <alignment vertical="center" wrapText="1"/>
    </xf>
    <xf numFmtId="0" fontId="18" fillId="3" borderId="20" xfId="0" applyFont="1" applyFill="1" applyBorder="1" applyAlignment="1">
      <alignment vertical="center" wrapText="1"/>
    </xf>
    <xf numFmtId="0" fontId="21" fillId="3" borderId="0" xfId="0" applyFont="1" applyFill="1" applyBorder="1" applyAlignment="1">
      <alignment horizontal="center" vertical="center" wrapText="1"/>
    </xf>
    <xf numFmtId="0" fontId="21" fillId="8" borderId="1" xfId="0" applyFont="1" applyFill="1" applyBorder="1" applyAlignment="1">
      <alignment horizontal="center" vertical="center"/>
    </xf>
    <xf numFmtId="0" fontId="21" fillId="3" borderId="0" xfId="0" applyFont="1" applyFill="1" applyBorder="1" applyAlignment="1">
      <alignment horizontal="center" vertical="center"/>
    </xf>
    <xf numFmtId="0" fontId="0" fillId="3" borderId="0" xfId="0" applyFont="1" applyFill="1" applyBorder="1" applyAlignment="1">
      <alignment vertical="center" wrapText="1"/>
    </xf>
    <xf numFmtId="0" fontId="0" fillId="3" borderId="20" xfId="0" applyFill="1" applyBorder="1" applyAlignment="1">
      <alignment vertical="center" wrapText="1"/>
    </xf>
    <xf numFmtId="164" fontId="21" fillId="8" borderId="1" xfId="0" applyNumberFormat="1" applyFont="1" applyFill="1" applyBorder="1" applyAlignment="1">
      <alignment horizontal="center" vertical="center" wrapText="1"/>
    </xf>
    <xf numFmtId="10" fontId="21" fillId="8" borderId="1" xfId="0" applyNumberFormat="1" applyFont="1" applyFill="1" applyBorder="1" applyAlignment="1">
      <alignment horizontal="center" vertical="center" wrapText="1"/>
    </xf>
    <xf numFmtId="0" fontId="18" fillId="3" borderId="0" xfId="0" applyFont="1" applyFill="1" applyBorder="1" applyAlignment="1">
      <alignment vertical="center"/>
    </xf>
    <xf numFmtId="0" fontId="18" fillId="0" borderId="4" xfId="0" applyFont="1" applyBorder="1" applyAlignment="1">
      <alignment vertical="center" wrapText="1"/>
    </xf>
    <xf numFmtId="0" fontId="19" fillId="3" borderId="0" xfId="0" applyFont="1" applyFill="1" applyBorder="1" applyAlignment="1">
      <alignment vertical="center"/>
    </xf>
    <xf numFmtId="0" fontId="18" fillId="0" borderId="6" xfId="0" applyFont="1" applyFill="1" applyBorder="1" applyAlignment="1">
      <alignment vertical="center" wrapText="1"/>
    </xf>
    <xf numFmtId="0" fontId="21" fillId="8" borderId="8" xfId="0" applyFont="1" applyFill="1" applyBorder="1" applyAlignment="1">
      <alignment horizontal="center" vertical="center" wrapText="1"/>
    </xf>
    <xf numFmtId="44" fontId="16" fillId="0" borderId="1" xfId="1" applyFont="1" applyBorder="1" applyAlignment="1">
      <alignment horizontal="center"/>
    </xf>
    <xf numFmtId="164" fontId="18" fillId="3" borderId="0" xfId="0" applyNumberFormat="1" applyFont="1" applyFill="1" applyBorder="1" applyAlignment="1">
      <alignment vertical="center" wrapText="1"/>
    </xf>
    <xf numFmtId="164" fontId="0" fillId="3" borderId="0" xfId="0" applyNumberFormat="1" applyFont="1" applyFill="1" applyBorder="1" applyAlignment="1">
      <alignment vertical="center" wrapText="1"/>
    </xf>
    <xf numFmtId="164" fontId="18" fillId="3" borderId="10" xfId="0" applyNumberFormat="1" applyFont="1" applyFill="1" applyBorder="1" applyAlignment="1">
      <alignment horizontal="center" vertical="center" wrapText="1"/>
    </xf>
    <xf numFmtId="0" fontId="16" fillId="3" borderId="0" xfId="0" applyFont="1" applyFill="1" applyBorder="1" applyAlignment="1">
      <alignment horizontal="left" vertical="center"/>
    </xf>
    <xf numFmtId="0" fontId="18" fillId="0" borderId="1" xfId="0" applyFont="1" applyBorder="1" applyAlignment="1">
      <alignment horizontal="left" vertical="center" wrapText="1"/>
    </xf>
    <xf numFmtId="164" fontId="33" fillId="16" borderId="1" xfId="0" applyNumberFormat="1" applyFont="1" applyFill="1" applyBorder="1" applyAlignment="1">
      <alignment vertical="center"/>
    </xf>
    <xf numFmtId="164" fontId="0" fillId="3" borderId="0" xfId="0" applyNumberFormat="1" applyFill="1" applyBorder="1" applyAlignment="1">
      <alignment horizontal="center" vertical="center" wrapText="1"/>
    </xf>
    <xf numFmtId="0" fontId="29" fillId="3" borderId="15" xfId="0" applyFont="1" applyFill="1" applyBorder="1" applyAlignment="1">
      <alignment vertical="top" wrapText="1"/>
    </xf>
    <xf numFmtId="0" fontId="37" fillId="2" borderId="1" xfId="0" applyFont="1" applyFill="1" applyBorder="1" applyAlignment="1">
      <alignment horizontal="center" wrapText="1"/>
    </xf>
    <xf numFmtId="0" fontId="37" fillId="2" borderId="1" xfId="0" applyFont="1" applyFill="1" applyBorder="1" applyAlignment="1">
      <alignment horizontal="center" vertical="center" wrapText="1"/>
    </xf>
    <xf numFmtId="44" fontId="21" fillId="8" borderId="1" xfId="1" applyFont="1" applyFill="1" applyBorder="1" applyAlignment="1">
      <alignment horizontal="center" vertical="center" wrapText="1"/>
    </xf>
    <xf numFmtId="0" fontId="4" fillId="2" borderId="1" xfId="0" applyFont="1" applyFill="1" applyBorder="1"/>
    <xf numFmtId="0" fontId="4" fillId="20" borderId="1" xfId="0" applyFont="1" applyFill="1" applyBorder="1"/>
    <xf numFmtId="44" fontId="0" fillId="2" borderId="1" xfId="1" applyFont="1" applyFill="1" applyBorder="1" applyAlignment="1">
      <alignment wrapText="1"/>
    </xf>
    <xf numFmtId="44" fontId="0" fillId="2" borderId="1" xfId="1" applyFont="1" applyFill="1" applyBorder="1"/>
    <xf numFmtId="0" fontId="48" fillId="8" borderId="1" xfId="0" applyFont="1" applyFill="1" applyBorder="1"/>
    <xf numFmtId="3" fontId="0" fillId="2" borderId="1" xfId="0" applyNumberFormat="1" applyFill="1" applyBorder="1"/>
    <xf numFmtId="0" fontId="4" fillId="2" borderId="1" xfId="0" applyFont="1" applyFill="1" applyBorder="1" applyAlignment="1">
      <alignment wrapText="1"/>
    </xf>
    <xf numFmtId="0" fontId="4" fillId="2" borderId="4" xfId="0" applyFont="1" applyFill="1" applyBorder="1"/>
    <xf numFmtId="0" fontId="4" fillId="2" borderId="4" xfId="0" applyFont="1" applyFill="1" applyBorder="1" applyAlignment="1">
      <alignment wrapText="1"/>
    </xf>
    <xf numFmtId="0" fontId="23" fillId="2" borderId="1" xfId="0" applyFont="1" applyFill="1" applyBorder="1" applyAlignment="1">
      <alignment horizontal="center" wrapText="1"/>
    </xf>
    <xf numFmtId="0" fontId="23" fillId="0" borderId="1" xfId="0" applyFont="1" applyBorder="1" applyAlignment="1">
      <alignment horizontal="center" vertical="center"/>
    </xf>
    <xf numFmtId="44" fontId="21" fillId="8" borderId="1" xfId="1" applyFont="1" applyFill="1" applyBorder="1" applyAlignment="1">
      <alignment vertical="center" wrapText="1"/>
    </xf>
    <xf numFmtId="10" fontId="21" fillId="8" borderId="1" xfId="1" applyNumberFormat="1" applyFont="1" applyFill="1" applyBorder="1" applyAlignment="1">
      <alignment vertical="center" wrapText="1"/>
    </xf>
    <xf numFmtId="164" fontId="18" fillId="3" borderId="0" xfId="0" applyNumberFormat="1" applyFont="1" applyFill="1" applyBorder="1" applyAlignment="1">
      <alignment horizontal="center" vertical="center" wrapText="1"/>
    </xf>
    <xf numFmtId="164" fontId="33" fillId="16" borderId="11" xfId="0" applyNumberFormat="1" applyFont="1" applyFill="1" applyBorder="1" applyAlignment="1">
      <alignment vertical="center"/>
    </xf>
    <xf numFmtId="164" fontId="21" fillId="8" borderId="1" xfId="1" applyNumberFormat="1" applyFont="1" applyFill="1" applyBorder="1" applyAlignment="1">
      <alignment vertical="center"/>
    </xf>
    <xf numFmtId="164" fontId="21" fillId="8" borderId="1" xfId="1" applyNumberFormat="1" applyFont="1" applyFill="1" applyBorder="1" applyAlignment="1">
      <alignment vertical="center" wrapText="1"/>
    </xf>
    <xf numFmtId="0" fontId="0" fillId="3" borderId="16" xfId="0" applyFill="1" applyBorder="1"/>
    <xf numFmtId="0" fontId="0" fillId="3" borderId="55" xfId="0" applyFill="1" applyBorder="1"/>
    <xf numFmtId="0" fontId="28" fillId="3" borderId="0" xfId="0" applyFont="1" applyFill="1" applyBorder="1" applyAlignment="1">
      <alignment vertical="center" wrapText="1"/>
    </xf>
    <xf numFmtId="0" fontId="21" fillId="8" borderId="13" xfId="1" applyNumberFormat="1" applyFont="1" applyFill="1" applyBorder="1" applyAlignment="1">
      <alignment vertical="center"/>
    </xf>
    <xf numFmtId="8" fontId="0" fillId="3" borderId="0" xfId="0" applyNumberFormat="1" applyFill="1" applyBorder="1" applyAlignment="1">
      <alignment vertical="center"/>
    </xf>
    <xf numFmtId="6" fontId="0" fillId="0" borderId="2" xfId="0" applyNumberFormat="1" applyBorder="1"/>
    <xf numFmtId="6" fontId="0" fillId="0" borderId="12" xfId="0" applyNumberFormat="1" applyBorder="1"/>
    <xf numFmtId="0" fontId="18" fillId="0" borderId="1" xfId="0" applyFont="1" applyFill="1" applyBorder="1" applyAlignment="1">
      <alignment horizontal="left" vertical="center" wrapText="1"/>
    </xf>
    <xf numFmtId="0" fontId="31" fillId="3" borderId="20" xfId="0" applyFont="1" applyFill="1" applyBorder="1" applyAlignment="1">
      <alignment wrapText="1"/>
    </xf>
    <xf numFmtId="0" fontId="29" fillId="3" borderId="0" xfId="0" applyFont="1" applyFill="1" applyBorder="1" applyAlignment="1">
      <alignment wrapText="1"/>
    </xf>
    <xf numFmtId="0" fontId="21" fillId="8" borderId="1" xfId="0" applyFont="1" applyFill="1" applyBorder="1" applyAlignment="1">
      <alignment horizontal="center" vertical="center" wrapText="1"/>
    </xf>
    <xf numFmtId="0" fontId="30" fillId="3" borderId="20" xfId="0" applyFont="1" applyFill="1" applyBorder="1" applyAlignment="1">
      <alignment horizontal="left"/>
    </xf>
    <xf numFmtId="0" fontId="28" fillId="3" borderId="0" xfId="0" applyFont="1" applyFill="1" applyBorder="1" applyAlignment="1">
      <alignment horizontal="left"/>
    </xf>
    <xf numFmtId="0" fontId="28" fillId="3" borderId="0" xfId="0" applyFont="1" applyFill="1" applyBorder="1" applyAlignment="1">
      <alignment horizontal="left" vertical="center" wrapText="1"/>
    </xf>
    <xf numFmtId="0" fontId="2" fillId="0" borderId="1" xfId="0" applyFont="1" applyBorder="1" applyAlignment="1">
      <alignment horizontal="center" vertical="center" wrapText="1"/>
    </xf>
    <xf numFmtId="44" fontId="24" fillId="16" borderId="1" xfId="1" applyFont="1" applyFill="1" applyBorder="1" applyAlignment="1">
      <alignment horizontal="center" vertical="center" wrapText="1"/>
    </xf>
    <xf numFmtId="0" fontId="51" fillId="3" borderId="20" xfId="0" applyFont="1" applyFill="1" applyBorder="1" applyAlignment="1">
      <alignment horizontal="left"/>
    </xf>
    <xf numFmtId="0" fontId="51" fillId="3" borderId="0" xfId="0" applyFont="1" applyFill="1" applyBorder="1" applyAlignment="1">
      <alignment horizontal="left"/>
    </xf>
    <xf numFmtId="0" fontId="51" fillId="3" borderId="0" xfId="0" applyFont="1" applyFill="1" applyBorder="1" applyAlignment="1">
      <alignment horizontal="left" vertical="center"/>
    </xf>
    <xf numFmtId="0" fontId="28" fillId="3" borderId="0" xfId="0" applyFont="1" applyFill="1" applyBorder="1" applyAlignment="1">
      <alignment vertical="top" wrapText="1"/>
    </xf>
    <xf numFmtId="0" fontId="0" fillId="3" borderId="25" xfId="0" applyFill="1" applyBorder="1" applyAlignment="1">
      <alignment wrapText="1"/>
    </xf>
    <xf numFmtId="0" fontId="1" fillId="3" borderId="25" xfId="0" applyFont="1" applyFill="1" applyBorder="1"/>
    <xf numFmtId="0" fontId="0" fillId="3" borderId="23" xfId="0" applyFill="1" applyBorder="1" applyAlignment="1">
      <alignment wrapText="1"/>
    </xf>
    <xf numFmtId="0" fontId="0" fillId="3" borderId="9" xfId="0" applyFont="1" applyFill="1" applyBorder="1" applyAlignment="1">
      <alignment wrapText="1"/>
    </xf>
    <xf numFmtId="0" fontId="0" fillId="3" borderId="9" xfId="0" applyFill="1" applyBorder="1"/>
    <xf numFmtId="43" fontId="24" fillId="16" borderId="1" xfId="5" applyFont="1" applyFill="1" applyBorder="1" applyAlignment="1">
      <alignment horizontal="center" vertical="center" wrapText="1"/>
    </xf>
    <xf numFmtId="43" fontId="24" fillId="16" borderId="1" xfId="5" applyFont="1" applyFill="1" applyBorder="1" applyAlignment="1">
      <alignment horizontal="center" vertical="center"/>
    </xf>
    <xf numFmtId="0" fontId="52" fillId="17" borderId="13" xfId="0" applyFont="1" applyFill="1" applyBorder="1" applyAlignment="1" applyProtection="1">
      <alignment horizontal="center" vertical="center"/>
      <protection locked="0"/>
    </xf>
    <xf numFmtId="1" fontId="52" fillId="17" borderId="1" xfId="3" applyNumberFormat="1" applyFont="1" applyFill="1" applyBorder="1" applyAlignment="1">
      <alignment horizontal="center" vertical="center"/>
    </xf>
    <xf numFmtId="44" fontId="24" fillId="16" borderId="1" xfId="1" applyFont="1" applyFill="1" applyBorder="1" applyAlignment="1">
      <alignment horizontal="center" vertical="center"/>
    </xf>
    <xf numFmtId="44" fontId="24" fillId="16" borderId="1" xfId="1" applyFont="1" applyFill="1" applyBorder="1" applyAlignment="1">
      <alignment vertical="center"/>
    </xf>
    <xf numFmtId="0" fontId="18" fillId="2" borderId="11" xfId="0" applyFont="1" applyFill="1" applyBorder="1" applyAlignment="1">
      <alignment vertical="center" wrapText="1"/>
    </xf>
    <xf numFmtId="0" fontId="2" fillId="2" borderId="11" xfId="0" applyFont="1" applyFill="1" applyBorder="1" applyAlignment="1">
      <alignment horizontal="center"/>
    </xf>
    <xf numFmtId="44" fontId="24" fillId="16" borderId="1" xfId="1" applyFont="1" applyFill="1" applyBorder="1" applyAlignment="1">
      <alignment horizontal="center" vertical="center" wrapText="1"/>
    </xf>
    <xf numFmtId="0" fontId="4" fillId="15" borderId="2" xfId="0" applyFont="1" applyFill="1" applyBorder="1" applyAlignment="1">
      <alignment horizontal="center" wrapText="1"/>
    </xf>
    <xf numFmtId="0" fontId="4" fillId="15" borderId="1" xfId="0" applyFont="1" applyFill="1" applyBorder="1" applyAlignment="1">
      <alignment horizontal="center" wrapText="1"/>
    </xf>
    <xf numFmtId="2" fontId="4" fillId="0" borderId="1" xfId="0" applyNumberFormat="1" applyFont="1" applyBorder="1"/>
    <xf numFmtId="0" fontId="0" fillId="15" borderId="1" xfId="0" applyFill="1" applyBorder="1" applyAlignment="1">
      <alignment horizontal="center" wrapText="1"/>
    </xf>
    <xf numFmtId="0" fontId="39" fillId="0" borderId="0" xfId="0" applyFont="1" applyFill="1"/>
    <xf numFmtId="0" fontId="40" fillId="7" borderId="39" xfId="0" applyFont="1" applyFill="1" applyBorder="1" applyAlignment="1">
      <alignment horizontal="center"/>
    </xf>
    <xf numFmtId="0" fontId="40" fillId="7" borderId="40" xfId="0" applyFont="1" applyFill="1" applyBorder="1" applyAlignment="1">
      <alignment horizontal="center"/>
    </xf>
    <xf numFmtId="0" fontId="39" fillId="7" borderId="3" xfId="0" applyFont="1" applyFill="1" applyBorder="1"/>
    <xf numFmtId="0" fontId="39" fillId="7" borderId="37" xfId="0" applyFont="1" applyFill="1" applyBorder="1"/>
    <xf numFmtId="0" fontId="40" fillId="7" borderId="38" xfId="0" applyFont="1" applyFill="1" applyBorder="1"/>
    <xf numFmtId="0" fontId="40" fillId="7" borderId="41" xfId="0" applyFont="1" applyFill="1" applyBorder="1" applyAlignment="1">
      <alignment horizontal="center"/>
    </xf>
    <xf numFmtId="0" fontId="40" fillId="7" borderId="38" xfId="0" applyFont="1" applyFill="1" applyBorder="1" applyAlignment="1">
      <alignment horizontal="center"/>
    </xf>
    <xf numFmtId="165" fontId="40" fillId="0" borderId="41" xfId="0" applyNumberFormat="1" applyFont="1" applyBorder="1"/>
    <xf numFmtId="165" fontId="40" fillId="0" borderId="50" xfId="0" applyNumberFormat="1" applyFont="1" applyBorder="1"/>
    <xf numFmtId="0" fontId="40" fillId="0" borderId="50" xfId="0" applyFont="1" applyBorder="1"/>
    <xf numFmtId="166" fontId="40" fillId="0" borderId="41" xfId="0" applyNumberFormat="1" applyFont="1" applyBorder="1"/>
    <xf numFmtId="0" fontId="40" fillId="0" borderId="42" xfId="0" applyFont="1" applyBorder="1"/>
    <xf numFmtId="0" fontId="40" fillId="0" borderId="44" xfId="0" applyFont="1" applyBorder="1"/>
    <xf numFmtId="0" fontId="40" fillId="0" borderId="44" xfId="0" applyFont="1" applyFill="1" applyBorder="1"/>
    <xf numFmtId="0" fontId="44" fillId="0" borderId="44" xfId="0" applyFont="1" applyFill="1" applyBorder="1"/>
    <xf numFmtId="0" fontId="40" fillId="0" borderId="45" xfId="0" applyFont="1" applyFill="1" applyBorder="1"/>
    <xf numFmtId="165" fontId="54" fillId="8" borderId="6" xfId="0" applyNumberFormat="1" applyFont="1" applyFill="1" applyBorder="1"/>
    <xf numFmtId="165" fontId="54" fillId="8" borderId="43" xfId="0" applyNumberFormat="1" applyFont="1" applyFill="1" applyBorder="1"/>
    <xf numFmtId="166" fontId="54" fillId="8" borderId="7" xfId="0" applyNumberFormat="1" applyFont="1" applyFill="1" applyBorder="1"/>
    <xf numFmtId="165" fontId="54" fillId="8" borderId="4" xfId="0" applyNumberFormat="1" applyFont="1" applyFill="1" applyBorder="1"/>
    <xf numFmtId="165" fontId="54" fillId="8" borderId="5" xfId="0" applyNumberFormat="1" applyFont="1" applyFill="1" applyBorder="1"/>
    <xf numFmtId="166" fontId="54" fillId="8" borderId="2" xfId="0" applyNumberFormat="1" applyFont="1" applyFill="1" applyBorder="1"/>
    <xf numFmtId="165" fontId="54" fillId="8" borderId="46" xfId="0" applyNumberFormat="1" applyFont="1" applyFill="1" applyBorder="1"/>
    <xf numFmtId="165" fontId="54" fillId="8" borderId="47" xfId="0" applyNumberFormat="1" applyFont="1" applyFill="1" applyBorder="1"/>
    <xf numFmtId="166" fontId="54" fillId="8" borderId="48" xfId="0" applyNumberFormat="1" applyFont="1" applyFill="1" applyBorder="1"/>
    <xf numFmtId="0" fontId="54" fillId="8" borderId="42" xfId="0" applyFont="1" applyFill="1" applyBorder="1"/>
    <xf numFmtId="0" fontId="54" fillId="8" borderId="44" xfId="0" applyFont="1" applyFill="1" applyBorder="1"/>
    <xf numFmtId="0" fontId="54" fillId="8" borderId="33" xfId="0" applyFont="1" applyFill="1" applyBorder="1"/>
    <xf numFmtId="0" fontId="54" fillId="8" borderId="53" xfId="0" applyFont="1" applyFill="1" applyBorder="1"/>
    <xf numFmtId="0" fontId="40" fillId="0" borderId="54" xfId="0" applyFont="1" applyBorder="1"/>
    <xf numFmtId="0" fontId="40" fillId="0" borderId="52" xfId="0" applyFont="1" applyBorder="1"/>
    <xf numFmtId="0" fontId="0" fillId="0" borderId="1" xfId="0" applyBorder="1" applyAlignment="1">
      <alignment wrapText="1"/>
    </xf>
    <xf numFmtId="0" fontId="40" fillId="0" borderId="23" xfId="0" applyFont="1" applyFill="1" applyBorder="1"/>
    <xf numFmtId="165" fontId="54" fillId="8" borderId="58" xfId="0" applyNumberFormat="1" applyFont="1" applyFill="1" applyBorder="1"/>
    <xf numFmtId="165" fontId="54" fillId="8" borderId="59" xfId="0" applyNumberFormat="1" applyFont="1" applyFill="1" applyBorder="1"/>
    <xf numFmtId="166" fontId="54" fillId="8" borderId="59" xfId="0" applyNumberFormat="1" applyFont="1" applyFill="1" applyBorder="1"/>
    <xf numFmtId="0" fontId="54" fillId="8" borderId="60" xfId="0" applyFont="1" applyFill="1" applyBorder="1"/>
    <xf numFmtId="44" fontId="0" fillId="0" borderId="0" xfId="0" applyNumberFormat="1"/>
    <xf numFmtId="0" fontId="40" fillId="7" borderId="0" xfId="0" applyFont="1" applyFill="1"/>
    <xf numFmtId="165" fontId="40" fillId="7" borderId="0" xfId="0" applyNumberFormat="1" applyFont="1" applyFill="1"/>
    <xf numFmtId="165" fontId="39" fillId="7" borderId="0" xfId="0" applyNumberFormat="1" applyFont="1" applyFill="1"/>
    <xf numFmtId="0" fontId="39" fillId="7" borderId="0" xfId="0" applyFont="1" applyFill="1"/>
    <xf numFmtId="0" fontId="0" fillId="0" borderId="1" xfId="0" applyBorder="1" applyAlignment="1">
      <alignment horizontal="center"/>
    </xf>
    <xf numFmtId="0" fontId="0" fillId="0" borderId="0" xfId="0" applyAlignment="1">
      <alignment wrapText="1"/>
    </xf>
    <xf numFmtId="0" fontId="0" fillId="0" borderId="20" xfId="0" applyBorder="1" applyAlignment="1">
      <alignment wrapText="1"/>
    </xf>
    <xf numFmtId="0" fontId="0" fillId="0" borderId="1" xfId="0" applyBorder="1" applyAlignment="1">
      <alignment horizontal="center"/>
    </xf>
    <xf numFmtId="0" fontId="0" fillId="0" borderId="2" xfId="0" applyBorder="1" applyAlignment="1">
      <alignment wrapText="1"/>
    </xf>
    <xf numFmtId="0" fontId="0" fillId="0" borderId="0" xfId="0" applyAlignment="1">
      <alignment wrapText="1"/>
    </xf>
    <xf numFmtId="0" fontId="11" fillId="0" borderId="0" xfId="0" applyFont="1" applyAlignment="1">
      <alignment horizontal="right"/>
    </xf>
    <xf numFmtId="44" fontId="0" fillId="0" borderId="0" xfId="0" applyNumberFormat="1" applyAlignment="1">
      <alignment wrapText="1"/>
    </xf>
    <xf numFmtId="0" fontId="0" fillId="0" borderId="27" xfId="0" applyBorder="1"/>
    <xf numFmtId="0" fontId="4" fillId="0" borderId="0" xfId="0" applyFont="1" applyAlignment="1">
      <alignment wrapText="1"/>
    </xf>
    <xf numFmtId="0" fontId="4" fillId="0" borderId="21" xfId="0" applyFont="1" applyBorder="1" applyAlignment="1">
      <alignment wrapText="1"/>
    </xf>
    <xf numFmtId="2" fontId="4" fillId="0" borderId="0" xfId="0" applyNumberFormat="1" applyFont="1" applyAlignment="1">
      <alignment horizontal="center"/>
    </xf>
    <xf numFmtId="0" fontId="15" fillId="0" borderId="0" xfId="0" applyFont="1"/>
    <xf numFmtId="0" fontId="14" fillId="0" borderId="0" xfId="0" applyFont="1"/>
    <xf numFmtId="0" fontId="15" fillId="0" borderId="0" xfId="0" applyFont="1" applyAlignment="1">
      <alignment horizontal="center"/>
    </xf>
    <xf numFmtId="0" fontId="17" fillId="0" borderId="0" xfId="0" applyFont="1" applyAlignment="1">
      <alignment horizontal="center"/>
    </xf>
    <xf numFmtId="0" fontId="0" fillId="4" borderId="1" xfId="0" applyFill="1" applyBorder="1"/>
    <xf numFmtId="0" fontId="4" fillId="4" borderId="4" xfId="0" applyFont="1" applyFill="1" applyBorder="1"/>
    <xf numFmtId="0" fontId="4" fillId="6" borderId="2" xfId="0" applyFont="1" applyFill="1" applyBorder="1"/>
    <xf numFmtId="0" fontId="4" fillId="6" borderId="1" xfId="0" applyFont="1" applyFill="1" applyBorder="1"/>
    <xf numFmtId="0" fontId="0" fillId="0" borderId="17" xfId="0" applyBorder="1"/>
    <xf numFmtId="2" fontId="4" fillId="0" borderId="1" xfId="0" applyNumberFormat="1" applyFont="1" applyBorder="1" applyAlignment="1">
      <alignment horizontal="right"/>
    </xf>
    <xf numFmtId="2" fontId="4" fillId="0" borderId="5" xfId="0" applyNumberFormat="1" applyFont="1" applyBorder="1" applyAlignment="1">
      <alignment horizontal="right"/>
    </xf>
    <xf numFmtId="0" fontId="18" fillId="0" borderId="0" xfId="0" applyFont="1"/>
    <xf numFmtId="0" fontId="18" fillId="0" borderId="0" xfId="0" applyFont="1" applyAlignment="1">
      <alignment wrapText="1"/>
    </xf>
    <xf numFmtId="6" fontId="0" fillId="0" borderId="1" xfId="0" applyNumberFormat="1" applyBorder="1" applyAlignment="1">
      <alignment wrapText="1"/>
    </xf>
    <xf numFmtId="0" fontId="18" fillId="2" borderId="11" xfId="0" applyFont="1" applyFill="1" applyBorder="1" applyAlignment="1">
      <alignment horizontal="left" vertical="center" wrapText="1"/>
    </xf>
    <xf numFmtId="0" fontId="18" fillId="2" borderId="8" xfId="0" applyFont="1" applyFill="1" applyBorder="1" applyAlignment="1">
      <alignment horizontal="left" vertical="center" wrapText="1"/>
    </xf>
    <xf numFmtId="164" fontId="33" fillId="16" borderId="11" xfId="1" applyNumberFormat="1" applyFont="1" applyFill="1" applyBorder="1" applyAlignment="1">
      <alignment horizontal="center" vertical="center"/>
    </xf>
    <xf numFmtId="164" fontId="33" fillId="16" borderId="8" xfId="1" applyNumberFormat="1" applyFont="1" applyFill="1" applyBorder="1" applyAlignment="1">
      <alignment horizontal="center" vertical="center"/>
    </xf>
    <xf numFmtId="0" fontId="28" fillId="0" borderId="2" xfId="0" applyFont="1" applyBorder="1" applyAlignment="1">
      <alignment horizontal="center" vertical="center" wrapText="1"/>
    </xf>
    <xf numFmtId="0" fontId="29" fillId="0" borderId="12" xfId="0" applyFont="1" applyBorder="1" applyAlignment="1">
      <alignment horizontal="center" vertical="center" wrapText="1"/>
    </xf>
    <xf numFmtId="0" fontId="18" fillId="3" borderId="3"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32"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6" fillId="3" borderId="28" xfId="0" applyFont="1" applyFill="1" applyBorder="1" applyAlignment="1">
      <alignment vertical="center" wrapText="1"/>
    </xf>
    <xf numFmtId="0" fontId="16" fillId="0" borderId="16" xfId="0" applyFont="1" applyBorder="1" applyAlignment="1">
      <alignment vertical="center" wrapText="1"/>
    </xf>
    <xf numFmtId="0" fontId="28" fillId="3" borderId="0" xfId="0" applyFont="1" applyFill="1" applyBorder="1" applyAlignment="1">
      <alignment horizontal="left" vertical="top" wrapText="1"/>
    </xf>
    <xf numFmtId="0" fontId="0" fillId="3" borderId="25" xfId="0" applyFont="1" applyFill="1" applyBorder="1" applyAlignment="1">
      <alignment horizontal="left" vertical="top" wrapText="1"/>
    </xf>
    <xf numFmtId="0" fontId="0" fillId="3" borderId="15" xfId="0" applyFont="1" applyFill="1" applyBorder="1" applyAlignment="1">
      <alignment horizontal="left" vertical="top" wrapText="1"/>
    </xf>
    <xf numFmtId="0" fontId="28" fillId="3" borderId="20" xfId="0" applyFont="1" applyFill="1" applyBorder="1" applyAlignment="1">
      <alignment horizontal="left" vertical="center" wrapText="1"/>
    </xf>
    <xf numFmtId="0" fontId="28" fillId="3" borderId="0" xfId="0" applyFont="1" applyFill="1" applyBorder="1" applyAlignment="1">
      <alignment horizontal="left" vertical="center" wrapText="1"/>
    </xf>
    <xf numFmtId="0" fontId="2" fillId="0" borderId="1" xfId="0" applyFont="1" applyBorder="1" applyAlignment="1">
      <alignment horizontal="center" vertical="center" wrapText="1"/>
    </xf>
    <xf numFmtId="44" fontId="24" fillId="16" borderId="1" xfId="1" applyFont="1" applyFill="1" applyBorder="1" applyAlignment="1">
      <alignment horizontal="center" vertical="center" wrapText="1"/>
    </xf>
    <xf numFmtId="0" fontId="28" fillId="3" borderId="15" xfId="0" applyFont="1" applyFill="1" applyBorder="1" applyAlignment="1">
      <alignment horizontal="left" vertical="center" wrapText="1"/>
    </xf>
    <xf numFmtId="0" fontId="28" fillId="3" borderId="16" xfId="0" applyFont="1" applyFill="1" applyBorder="1" applyAlignment="1">
      <alignment horizontal="left" vertical="center" wrapText="1"/>
    </xf>
    <xf numFmtId="0" fontId="28" fillId="3" borderId="0" xfId="0" applyFont="1" applyFill="1" applyBorder="1" applyAlignment="1">
      <alignment horizontal="left" wrapText="1"/>
    </xf>
    <xf numFmtId="0" fontId="28" fillId="3" borderId="20" xfId="0" applyFont="1" applyFill="1" applyBorder="1" applyAlignment="1">
      <alignment horizontal="left" vertical="top" wrapText="1"/>
    </xf>
    <xf numFmtId="0" fontId="28" fillId="0" borderId="29" xfId="0" applyFont="1" applyBorder="1" applyAlignment="1">
      <alignment horizontal="center" vertical="center" wrapText="1"/>
    </xf>
    <xf numFmtId="0" fontId="0" fillId="0" borderId="13" xfId="0" applyBorder="1" applyAlignment="1">
      <alignment horizontal="center" vertical="center" wrapText="1"/>
    </xf>
    <xf numFmtId="0" fontId="18" fillId="0" borderId="4" xfId="0" applyFont="1" applyFill="1" applyBorder="1" applyAlignment="1">
      <alignment horizontal="left" vertical="center" wrapText="1"/>
    </xf>
    <xf numFmtId="164" fontId="21" fillId="8" borderId="1" xfId="1"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0" fontId="21" fillId="8" borderId="1"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25"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49" fillId="0" borderId="26" xfId="0" applyFont="1" applyFill="1" applyBorder="1" applyAlignment="1">
      <alignment horizontal="center" vertical="center"/>
    </xf>
    <xf numFmtId="0" fontId="49" fillId="0" borderId="18"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16" xfId="0" applyFont="1" applyFill="1" applyBorder="1" applyAlignment="1">
      <alignment horizontal="center" vertical="center"/>
    </xf>
    <xf numFmtId="0" fontId="49" fillId="0" borderId="31" xfId="0" applyFont="1" applyFill="1" applyBorder="1" applyAlignment="1">
      <alignment horizontal="center" vertical="center"/>
    </xf>
    <xf numFmtId="0" fontId="28" fillId="2" borderId="4"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8" fillId="0" borderId="1" xfId="0" applyFont="1" applyBorder="1" applyAlignment="1">
      <alignment vertical="center" wrapText="1"/>
    </xf>
    <xf numFmtId="0" fontId="31" fillId="3" borderId="25" xfId="0" applyFont="1" applyFill="1" applyBorder="1" applyAlignment="1">
      <alignment wrapText="1"/>
    </xf>
    <xf numFmtId="0" fontId="38" fillId="0" borderId="15" xfId="0" applyFont="1" applyBorder="1" applyAlignment="1">
      <alignment wrapText="1"/>
    </xf>
    <xf numFmtId="0" fontId="0" fillId="0" borderId="15" xfId="0" applyBorder="1" applyAlignment="1"/>
    <xf numFmtId="0" fontId="29"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28" fillId="3" borderId="25" xfId="0" applyFont="1" applyFill="1" applyBorder="1" applyAlignment="1">
      <alignment horizontal="left" vertical="center" wrapText="1"/>
    </xf>
    <xf numFmtId="164" fontId="21" fillId="8" borderId="11" xfId="1" applyNumberFormat="1" applyFont="1" applyFill="1" applyBorder="1" applyAlignment="1">
      <alignment horizontal="center" vertical="center" wrapText="1"/>
    </xf>
    <xf numFmtId="164" fontId="21" fillId="8" borderId="8" xfId="1" applyNumberFormat="1"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0" fontId="30" fillId="3" borderId="20" xfId="0" applyFont="1" applyFill="1" applyBorder="1" applyAlignment="1">
      <alignment horizontal="left"/>
    </xf>
    <xf numFmtId="0" fontId="28" fillId="3" borderId="0" xfId="0" applyFont="1" applyFill="1" applyBorder="1" applyAlignment="1">
      <alignment horizontal="left"/>
    </xf>
    <xf numFmtId="0" fontId="29" fillId="2" borderId="2" xfId="0" applyFont="1" applyFill="1" applyBorder="1" applyAlignment="1">
      <alignment horizontal="center"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xf>
    <xf numFmtId="0" fontId="27" fillId="13" borderId="17" xfId="0" applyFont="1" applyFill="1" applyBorder="1" applyAlignment="1">
      <alignment wrapText="1"/>
    </xf>
    <xf numFmtId="0" fontId="27" fillId="0" borderId="18" xfId="0" applyFont="1" applyBorder="1" applyAlignment="1"/>
    <xf numFmtId="0" fontId="0" fillId="0" borderId="18" xfId="0" applyBorder="1" applyAlignment="1"/>
    <xf numFmtId="0" fontId="28" fillId="3" borderId="3" xfId="0" applyFont="1" applyFill="1" applyBorder="1" applyAlignment="1">
      <alignment vertical="center" wrapText="1"/>
    </xf>
    <xf numFmtId="0" fontId="28" fillId="0" borderId="15" xfId="0" applyFont="1" applyBorder="1" applyAlignment="1">
      <alignment vertical="center" wrapText="1"/>
    </xf>
    <xf numFmtId="0" fontId="28" fillId="0" borderId="32" xfId="0" applyFont="1" applyBorder="1" applyAlignment="1">
      <alignment vertical="center" wrapText="1"/>
    </xf>
    <xf numFmtId="0" fontId="28" fillId="0" borderId="10" xfId="0" applyFont="1" applyBorder="1" applyAlignment="1">
      <alignment vertical="center" wrapText="1"/>
    </xf>
    <xf numFmtId="0" fontId="28" fillId="0" borderId="0" xfId="0" applyFont="1" applyBorder="1" applyAlignment="1">
      <alignment vertical="center" wrapText="1"/>
    </xf>
    <xf numFmtId="0" fontId="28" fillId="0" borderId="14" xfId="0" applyFont="1" applyBorder="1" applyAlignment="1">
      <alignment vertical="center" wrapText="1"/>
    </xf>
    <xf numFmtId="0" fontId="28" fillId="0" borderId="7" xfId="0" applyFont="1" applyBorder="1" applyAlignment="1">
      <alignment vertical="center" wrapText="1"/>
    </xf>
    <xf numFmtId="0" fontId="28" fillId="0" borderId="16" xfId="0" applyFont="1" applyBorder="1" applyAlignment="1">
      <alignment vertical="center" wrapText="1"/>
    </xf>
    <xf numFmtId="0" fontId="28" fillId="0" borderId="31" xfId="0" applyFont="1" applyBorder="1" applyAlignment="1">
      <alignment vertical="center" wrapText="1"/>
    </xf>
    <xf numFmtId="0" fontId="28" fillId="13" borderId="20" xfId="0" applyFont="1" applyFill="1" applyBorder="1" applyAlignment="1">
      <alignment wrapText="1"/>
    </xf>
    <xf numFmtId="0" fontId="28" fillId="0" borderId="0" xfId="0" applyFont="1" applyBorder="1" applyAlignment="1">
      <alignment wrapText="1"/>
    </xf>
    <xf numFmtId="0" fontId="31" fillId="13" borderId="20" xfId="0" applyFont="1" applyFill="1" applyBorder="1" applyAlignment="1">
      <alignment wrapText="1"/>
    </xf>
    <xf numFmtId="0" fontId="31" fillId="0" borderId="0" xfId="0" applyFont="1" applyBorder="1" applyAlignment="1"/>
    <xf numFmtId="0" fontId="28" fillId="0" borderId="20" xfId="0" applyFont="1" applyBorder="1" applyAlignment="1">
      <alignment wrapText="1"/>
    </xf>
    <xf numFmtId="0" fontId="31" fillId="3" borderId="20" xfId="0" applyFont="1" applyFill="1" applyBorder="1" applyAlignment="1">
      <alignment wrapText="1"/>
    </xf>
    <xf numFmtId="0" fontId="31" fillId="3" borderId="0" xfId="0" applyFont="1" applyFill="1" applyBorder="1" applyAlignment="1"/>
    <xf numFmtId="0" fontId="32" fillId="13" borderId="0" xfId="0" applyFont="1" applyFill="1" applyBorder="1" applyAlignment="1">
      <alignment wrapText="1"/>
    </xf>
    <xf numFmtId="0" fontId="32" fillId="0" borderId="0" xfId="0" applyFont="1" applyBorder="1" applyAlignment="1"/>
    <xf numFmtId="0" fontId="18" fillId="0" borderId="1" xfId="0" applyFont="1" applyFill="1" applyBorder="1" applyAlignment="1">
      <alignment vertical="center" wrapText="1"/>
    </xf>
    <xf numFmtId="0" fontId="16" fillId="0" borderId="1" xfId="0" applyFont="1" applyBorder="1" applyAlignment="1">
      <alignment vertical="center" wrapText="1"/>
    </xf>
    <xf numFmtId="0" fontId="28" fillId="3" borderId="20" xfId="0" applyFont="1" applyFill="1" applyBorder="1" applyAlignment="1">
      <alignment wrapText="1"/>
    </xf>
    <xf numFmtId="0" fontId="29" fillId="3" borderId="0" xfId="0" applyFont="1" applyFill="1" applyBorder="1" applyAlignment="1">
      <alignment wrapText="1"/>
    </xf>
    <xf numFmtId="0" fontId="19" fillId="13" borderId="15" xfId="0" applyFont="1" applyFill="1" applyBorder="1" applyAlignment="1">
      <alignment wrapText="1"/>
    </xf>
    <xf numFmtId="0" fontId="0" fillId="0" borderId="15" xfId="0" applyFont="1" applyBorder="1" applyAlignment="1">
      <alignment wrapText="1"/>
    </xf>
    <xf numFmtId="0" fontId="0" fillId="0" borderId="0" xfId="0" applyBorder="1" applyAlignment="1">
      <alignment wrapText="1"/>
    </xf>
    <xf numFmtId="0" fontId="21" fillId="3" borderId="25"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3" fillId="2" borderId="11" xfId="0" applyFont="1" applyFill="1" applyBorder="1" applyAlignment="1">
      <alignment vertical="center" wrapText="1"/>
    </xf>
    <xf numFmtId="0" fontId="19" fillId="0" borderId="56" xfId="0" applyFont="1" applyBorder="1" applyAlignment="1">
      <alignment vertical="center"/>
    </xf>
    <xf numFmtId="0" fontId="5" fillId="0" borderId="3" xfId="2" applyBorder="1" applyAlignment="1">
      <alignment wrapText="1"/>
    </xf>
    <xf numFmtId="0" fontId="0" fillId="0" borderId="15" xfId="0" applyBorder="1" applyAlignment="1">
      <alignment wrapText="1"/>
    </xf>
    <xf numFmtId="0" fontId="14" fillId="16" borderId="1" xfId="0" applyFont="1" applyFill="1" applyBorder="1" applyAlignment="1">
      <alignment horizontal="center"/>
    </xf>
    <xf numFmtId="0" fontId="0" fillId="0" borderId="1" xfId="0" applyBorder="1" applyAlignment="1">
      <alignment horizontal="center"/>
    </xf>
    <xf numFmtId="0" fontId="4" fillId="7" borderId="29" xfId="0" applyFont="1" applyFill="1" applyBorder="1"/>
    <xf numFmtId="0" fontId="4" fillId="0" borderId="12" xfId="0" applyFont="1" applyBorder="1"/>
    <xf numFmtId="0" fontId="4" fillId="0" borderId="13" xfId="0" applyFont="1" applyBorder="1"/>
    <xf numFmtId="0" fontId="4" fillId="7" borderId="2" xfId="0" applyFont="1" applyFill="1" applyBorder="1"/>
    <xf numFmtId="0" fontId="0" fillId="0" borderId="25" xfId="0" applyBorder="1" applyAlignment="1">
      <alignment wrapText="1"/>
    </xf>
    <xf numFmtId="2" fontId="4" fillId="18" borderId="1" xfId="0" applyNumberFormat="1" applyFont="1" applyFill="1" applyBorder="1" applyAlignment="1">
      <alignment wrapText="1"/>
    </xf>
    <xf numFmtId="0" fontId="0" fillId="18" borderId="1" xfId="0" applyFill="1" applyBorder="1" applyAlignment="1">
      <alignment wrapText="1"/>
    </xf>
    <xf numFmtId="0" fontId="4" fillId="14" borderId="1" xfId="0" applyFont="1" applyFill="1" applyBorder="1" applyAlignment="1">
      <alignment wrapText="1"/>
    </xf>
    <xf numFmtId="0" fontId="0" fillId="0" borderId="2" xfId="0" applyBorder="1" applyAlignment="1">
      <alignment wrapText="1"/>
    </xf>
    <xf numFmtId="0" fontId="4" fillId="14" borderId="2" xfId="0" applyFont="1" applyFill="1" applyBorder="1" applyAlignment="1">
      <alignment wrapText="1"/>
    </xf>
    <xf numFmtId="0" fontId="0" fillId="0" borderId="12" xfId="0" applyBorder="1" applyAlignment="1">
      <alignment wrapText="1"/>
    </xf>
    <xf numFmtId="0" fontId="4" fillId="13" borderId="1" xfId="0" applyFont="1" applyFill="1" applyBorder="1" applyAlignment="1">
      <alignment horizontal="center" wrapText="1"/>
    </xf>
    <xf numFmtId="0" fontId="4" fillId="0" borderId="1" xfId="0" applyFont="1" applyBorder="1" applyAlignment="1">
      <alignment horizontal="center" wrapText="1"/>
    </xf>
    <xf numFmtId="0" fontId="0" fillId="0" borderId="2" xfId="0" applyBorder="1"/>
    <xf numFmtId="0" fontId="0" fillId="0" borderId="13" xfId="0" applyBorder="1"/>
    <xf numFmtId="0" fontId="4" fillId="15" borderId="20" xfId="0" applyFont="1" applyFill="1" applyBorder="1" applyAlignment="1">
      <alignment wrapText="1"/>
    </xf>
    <xf numFmtId="0" fontId="0" fillId="15" borderId="0" xfId="0" applyFill="1"/>
    <xf numFmtId="0" fontId="0" fillId="0" borderId="20" xfId="0" applyBorder="1" applyAlignment="1">
      <alignment vertical="center" wrapText="1"/>
    </xf>
    <xf numFmtId="0" fontId="0" fillId="0" borderId="0" xfId="0" applyAlignment="1">
      <alignment vertical="center" wrapText="1"/>
    </xf>
    <xf numFmtId="0" fontId="0" fillId="0" borderId="20" xfId="0" applyBorder="1" applyAlignment="1">
      <alignment wrapText="1"/>
    </xf>
    <xf numFmtId="0" fontId="0" fillId="0" borderId="0" xfId="0" applyAlignment="1">
      <alignment wrapText="1"/>
    </xf>
    <xf numFmtId="0" fontId="4" fillId="4" borderId="28" xfId="0" applyFont="1" applyFill="1" applyBorder="1"/>
    <xf numFmtId="0" fontId="0" fillId="0" borderId="16" xfId="0" applyBorder="1"/>
    <xf numFmtId="0" fontId="4" fillId="14" borderId="4" xfId="0" applyFont="1" applyFill="1" applyBorder="1"/>
    <xf numFmtId="0" fontId="0" fillId="14" borderId="1" xfId="0" applyFill="1" applyBorder="1"/>
    <xf numFmtId="0" fontId="14" fillId="0" borderId="0" xfId="0" applyFont="1" applyAlignment="1">
      <alignment horizontal="center"/>
    </xf>
    <xf numFmtId="0" fontId="15" fillId="0" borderId="0" xfId="0" applyFont="1" applyAlignment="1">
      <alignment horizontal="center"/>
    </xf>
    <xf numFmtId="0" fontId="4" fillId="12" borderId="11" xfId="0" applyFont="1" applyFill="1" applyBorder="1"/>
    <xf numFmtId="0" fontId="0" fillId="0" borderId="8" xfId="0" applyBorder="1"/>
    <xf numFmtId="0" fontId="0" fillId="0" borderId="2" xfId="0" applyBorder="1" applyAlignment="1">
      <alignment horizontal="left"/>
    </xf>
    <xf numFmtId="0" fontId="0" fillId="0" borderId="13" xfId="0" applyBorder="1" applyAlignment="1">
      <alignment horizontal="left"/>
    </xf>
    <xf numFmtId="0" fontId="0" fillId="14" borderId="0" xfId="0" applyFill="1" applyAlignment="1">
      <alignment horizontal="left"/>
    </xf>
    <xf numFmtId="0" fontId="0" fillId="0" borderId="0" xfId="0" applyAlignment="1">
      <alignment horizontal="left"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0" fontId="11" fillId="0" borderId="0" xfId="0" applyFont="1" applyAlignment="1">
      <alignment horizontal="right"/>
    </xf>
    <xf numFmtId="0" fontId="0" fillId="0" borderId="0" xfId="0"/>
    <xf numFmtId="0" fontId="40" fillId="7" borderId="34" xfId="0" applyFont="1" applyFill="1" applyBorder="1" applyAlignment="1">
      <alignment horizontal="center" wrapText="1"/>
    </xf>
    <xf numFmtId="0" fontId="40" fillId="7" borderId="35" xfId="0" applyFont="1" applyFill="1" applyBorder="1" applyAlignment="1">
      <alignment horizontal="center" wrapText="1"/>
    </xf>
    <xf numFmtId="0" fontId="40" fillId="7" borderId="36" xfId="0" applyFont="1" applyFill="1" applyBorder="1" applyAlignment="1">
      <alignment horizontal="center" wrapText="1"/>
    </xf>
    <xf numFmtId="0" fontId="40" fillId="7" borderId="35" xfId="0" applyFont="1" applyFill="1" applyBorder="1" applyAlignment="1">
      <alignment horizontal="center" vertical="center" wrapText="1"/>
    </xf>
    <xf numFmtId="0" fontId="39" fillId="0" borderId="10" xfId="0" applyFont="1" applyBorder="1" applyAlignment="1">
      <alignment horizontal="left" wrapText="1"/>
    </xf>
    <xf numFmtId="0" fontId="39" fillId="0" borderId="0" xfId="0" applyFont="1" applyAlignment="1">
      <alignment horizontal="left" wrapText="1"/>
    </xf>
    <xf numFmtId="0" fontId="53" fillId="16" borderId="0" xfId="0" applyFont="1" applyFill="1" applyAlignment="1">
      <alignment horizontal="center" wrapText="1"/>
    </xf>
    <xf numFmtId="0" fontId="30" fillId="0" borderId="29" xfId="0" applyFont="1" applyBorder="1" applyAlignment="1">
      <alignment horizontal="center" vertical="center" wrapText="1"/>
    </xf>
  </cellXfs>
  <cellStyles count="6">
    <cellStyle name="Comma" xfId="5" builtinId="3"/>
    <cellStyle name="Currency" xfId="1" builtinId="4"/>
    <cellStyle name="Hyperlink" xfId="2" builtinId="8"/>
    <cellStyle name="Normal" xfId="0" builtinId="0"/>
    <cellStyle name="Normal 2" xfId="4" xr:uid="{4BC4652E-76FB-4DA1-9869-1D6809B2E94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hyperlink" Target="https://commons.wikimedia.org/wiki/File:Dymer_Creek,_Chesapeake_Bay_-_panoramio.jpg"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11</xdr:col>
      <xdr:colOff>836084</xdr:colOff>
      <xdr:row>0</xdr:row>
      <xdr:rowOff>181427</xdr:rowOff>
    </xdr:from>
    <xdr:to>
      <xdr:col>13</xdr:col>
      <xdr:colOff>1962150</xdr:colOff>
      <xdr:row>3</xdr:row>
      <xdr:rowOff>906</xdr:rowOff>
    </xdr:to>
    <xdr:pic>
      <xdr:nvPicPr>
        <xdr:cNvPr id="9" name="Picture 8">
          <a:extLst>
            <a:ext uri="{FF2B5EF4-FFF2-40B4-BE49-F238E27FC236}">
              <a16:creationId xmlns:a16="http://schemas.microsoft.com/office/drawing/2014/main" id="{C5276543-8FF3-47ED-AF7C-76EDD07355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51209" y="181427"/>
          <a:ext cx="5126566" cy="1890033"/>
        </a:xfrm>
        <a:prstGeom prst="rect">
          <a:avLst/>
        </a:prstGeom>
      </xdr:spPr>
    </xdr:pic>
    <xdr:clientData/>
  </xdr:twoCellAnchor>
  <xdr:twoCellAnchor editAs="oneCell">
    <xdr:from>
      <xdr:col>2</xdr:col>
      <xdr:colOff>495300</xdr:colOff>
      <xdr:row>8</xdr:row>
      <xdr:rowOff>154217</xdr:rowOff>
    </xdr:from>
    <xdr:to>
      <xdr:col>7</xdr:col>
      <xdr:colOff>330200</xdr:colOff>
      <xdr:row>14</xdr:row>
      <xdr:rowOff>257723</xdr:rowOff>
    </xdr:to>
    <xdr:pic>
      <xdr:nvPicPr>
        <xdr:cNvPr id="6" name="Picture 5" descr="Vibrant green forest">
          <a:extLst>
            <a:ext uri="{FF2B5EF4-FFF2-40B4-BE49-F238E27FC236}">
              <a16:creationId xmlns:a16="http://schemas.microsoft.com/office/drawing/2014/main" id="{9054DC96-EE87-45C6-ACFA-A80FDA3BEB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0700" y="4116617"/>
          <a:ext cx="6477000" cy="3621406"/>
        </a:xfrm>
        <a:prstGeom prst="rect">
          <a:avLst/>
        </a:prstGeom>
        <a:effectLst>
          <a:softEdge rad="38100"/>
        </a:effectLst>
      </xdr:spPr>
    </xdr:pic>
    <xdr:clientData/>
  </xdr:twoCellAnchor>
  <xdr:twoCellAnchor editAs="oneCell">
    <xdr:from>
      <xdr:col>8</xdr:col>
      <xdr:colOff>2514599</xdr:colOff>
      <xdr:row>68</xdr:row>
      <xdr:rowOff>149297</xdr:rowOff>
    </xdr:from>
    <xdr:to>
      <xdr:col>13</xdr:col>
      <xdr:colOff>723900</xdr:colOff>
      <xdr:row>77</xdr:row>
      <xdr:rowOff>325383</xdr:rowOff>
    </xdr:to>
    <xdr:pic>
      <xdr:nvPicPr>
        <xdr:cNvPr id="10" name="Picture 9" descr="Sunlight in the forest">
          <a:extLst>
            <a:ext uri="{FF2B5EF4-FFF2-40B4-BE49-F238E27FC236}">
              <a16:creationId xmlns:a16="http://schemas.microsoft.com/office/drawing/2014/main" id="{590D33FF-0EF2-438D-9548-7411961B21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84399" y="34921897"/>
          <a:ext cx="8788401" cy="4576636"/>
        </a:xfrm>
        <a:prstGeom prst="rect">
          <a:avLst/>
        </a:prstGeom>
        <a:effectLst>
          <a:softEdge rad="63500"/>
        </a:effectLst>
      </xdr:spPr>
    </xdr:pic>
    <xdr:clientData/>
  </xdr:twoCellAnchor>
  <xdr:twoCellAnchor editAs="oneCell">
    <xdr:from>
      <xdr:col>0</xdr:col>
      <xdr:colOff>101600</xdr:colOff>
      <xdr:row>62</xdr:row>
      <xdr:rowOff>148770</xdr:rowOff>
    </xdr:from>
    <xdr:to>
      <xdr:col>2</xdr:col>
      <xdr:colOff>2853667</xdr:colOff>
      <xdr:row>65</xdr:row>
      <xdr:rowOff>114300</xdr:rowOff>
    </xdr:to>
    <xdr:pic>
      <xdr:nvPicPr>
        <xdr:cNvPr id="8" name="Picture 7">
          <a:extLst>
            <a:ext uri="{FF2B5EF4-FFF2-40B4-BE49-F238E27FC236}">
              <a16:creationId xmlns:a16="http://schemas.microsoft.com/office/drawing/2014/main" id="{671F3257-1205-44EC-AFE9-2E9A35AD58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837473B0-CC2E-450A-ABE3-18F120FF3D39}">
              <a1611:picAttrSrcUrl xmlns:a1611="http://schemas.microsoft.com/office/drawing/2016/11/main" r:id="rId5"/>
            </a:ext>
          </a:extLst>
        </a:blip>
        <a:stretch>
          <a:fillRect/>
        </a:stretch>
      </xdr:blipFill>
      <xdr:spPr>
        <a:xfrm>
          <a:off x="101600" y="30819270"/>
          <a:ext cx="8038442" cy="3064330"/>
        </a:xfrm>
        <a:prstGeom prst="rect">
          <a:avLst/>
        </a:prstGeom>
        <a:effectLst>
          <a:softEdge rad="50800"/>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de.maryland.gov/programs/Water/WQFA/Documents/MHI-Data%2011-2020.pdf" TargetMode="External"/><Relationship Id="rId2" Type="http://schemas.openxmlformats.org/officeDocument/2006/relationships/hyperlink" Target="https://mde.maryland.gov/programs/Water/WQFA/Pages/InterestRates.aspx" TargetMode="External"/><Relationship Id="rId1" Type="http://schemas.openxmlformats.org/officeDocument/2006/relationships/hyperlink" Target="https://mde.maryland.gov/programs/Water/WQFA/Pages/InterestRates.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de.maryland.gov/programs/water/StormwaterManagementProgram/Documents/2020%20MS4%20Accounting%20Guidanc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nvtn.org/water-quality-trading/state-programs/Final_BMP_Cost.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9B5C9-0E57-4695-9C60-26AE6BCF8B73}">
  <sheetPr>
    <tabColor theme="9" tint="-0.499984740745262"/>
  </sheetPr>
  <dimension ref="A1:W83"/>
  <sheetViews>
    <sheetView tabSelected="1" zoomScale="50" zoomScaleNormal="50" workbookViewId="0">
      <selection activeCell="A63" sqref="A63"/>
    </sheetView>
  </sheetViews>
  <sheetFormatPr defaultColWidth="8.81640625" defaultRowHeight="14.5"/>
  <cols>
    <col min="1" max="1" width="42.81640625" style="88" customWidth="1"/>
    <col min="2" max="2" width="24.1796875" style="89" customWidth="1"/>
    <col min="3" max="3" width="42.81640625" customWidth="1"/>
    <col min="4" max="4" width="19.81640625" customWidth="1"/>
    <col min="5" max="8" width="8.1796875" customWidth="1"/>
    <col min="9" max="9" width="34.6328125" customWidth="1"/>
    <col min="10" max="10" width="26.36328125" customWidth="1"/>
    <col min="11" max="11" width="25.453125" customWidth="1"/>
    <col min="12" max="12" width="24.453125" customWidth="1"/>
    <col min="13" max="13" width="27.81640625" customWidth="1"/>
    <col min="14" max="14" width="30" customWidth="1"/>
    <col min="15" max="15" width="2.6328125" customWidth="1"/>
    <col min="16" max="16" width="23.1796875" customWidth="1"/>
    <col min="17" max="17" width="34.453125" customWidth="1"/>
    <col min="18" max="18" width="41.1796875" customWidth="1"/>
    <col min="19" max="19" width="24.453125" customWidth="1"/>
    <col min="20" max="20" width="18.1796875" customWidth="1"/>
    <col min="21" max="21" width="17.453125" customWidth="1"/>
    <col min="22" max="22" width="18.36328125" customWidth="1"/>
  </cols>
  <sheetData>
    <row r="1" spans="1:15" ht="45.75" customHeight="1">
      <c r="A1" s="436" t="s">
        <v>280</v>
      </c>
      <c r="B1" s="437"/>
      <c r="C1" s="437"/>
      <c r="D1" s="438"/>
      <c r="E1" s="438"/>
      <c r="F1" s="438"/>
      <c r="G1" s="141"/>
      <c r="H1" s="141"/>
      <c r="I1" s="141"/>
      <c r="J1" s="141"/>
      <c r="K1" s="141"/>
      <c r="L1" s="113"/>
      <c r="M1" s="113"/>
      <c r="N1" s="113"/>
      <c r="O1" s="114"/>
    </row>
    <row r="2" spans="1:15" ht="102.75" customHeight="1">
      <c r="A2" s="448" t="s">
        <v>281</v>
      </c>
      <c r="B2" s="449"/>
      <c r="C2" s="449"/>
      <c r="D2" s="449"/>
      <c r="E2" s="449"/>
      <c r="F2" s="449"/>
      <c r="G2" s="449"/>
      <c r="H2" s="449"/>
      <c r="I2" s="449"/>
      <c r="J2" s="449"/>
      <c r="K2" s="449"/>
      <c r="L2" s="112"/>
      <c r="M2" s="112"/>
      <c r="N2" s="112"/>
      <c r="O2" s="115"/>
    </row>
    <row r="3" spans="1:15">
      <c r="A3" s="142"/>
      <c r="B3" s="135"/>
      <c r="C3" s="134"/>
      <c r="D3" s="134"/>
      <c r="E3" s="134"/>
      <c r="F3" s="134"/>
      <c r="G3" s="134"/>
      <c r="H3" s="134"/>
      <c r="I3" s="134"/>
      <c r="J3" s="134"/>
      <c r="K3" s="134"/>
      <c r="L3" s="112"/>
      <c r="M3" s="112"/>
      <c r="N3" s="112"/>
      <c r="O3" s="115"/>
    </row>
    <row r="4" spans="1:15" ht="26">
      <c r="A4" s="450" t="s">
        <v>263</v>
      </c>
      <c r="B4" s="451"/>
      <c r="C4" s="451"/>
      <c r="D4" s="134"/>
      <c r="E4" s="134"/>
      <c r="F4" s="134"/>
      <c r="G4" s="134"/>
      <c r="H4" s="134"/>
      <c r="I4" s="134"/>
      <c r="J4" s="134"/>
      <c r="K4" s="134"/>
      <c r="L4" s="112"/>
      <c r="M4" s="112"/>
      <c r="N4" s="112"/>
      <c r="O4" s="115"/>
    </row>
    <row r="5" spans="1:15" ht="30.75" customHeight="1">
      <c r="A5" s="448" t="s">
        <v>282</v>
      </c>
      <c r="B5" s="449"/>
      <c r="C5" s="449"/>
      <c r="D5" s="449"/>
      <c r="E5" s="449"/>
      <c r="F5" s="449"/>
      <c r="G5" s="449"/>
      <c r="H5" s="449"/>
      <c r="I5" s="449"/>
      <c r="J5" s="449"/>
      <c r="K5" s="449"/>
      <c r="L5" s="112"/>
      <c r="M5" s="112"/>
      <c r="N5" s="112"/>
      <c r="O5" s="115"/>
    </row>
    <row r="6" spans="1:15">
      <c r="A6" s="452"/>
      <c r="B6" s="449"/>
      <c r="C6" s="449"/>
      <c r="D6" s="449"/>
      <c r="E6" s="449"/>
      <c r="F6" s="449"/>
      <c r="G6" s="449"/>
      <c r="H6" s="449"/>
      <c r="I6" s="449"/>
      <c r="J6" s="449"/>
      <c r="K6" s="449"/>
      <c r="L6" s="112"/>
      <c r="M6" s="112"/>
      <c r="N6" s="112"/>
      <c r="O6" s="115"/>
    </row>
    <row r="7" spans="1:15" ht="63" customHeight="1">
      <c r="A7" s="452"/>
      <c r="B7" s="449"/>
      <c r="C7" s="449"/>
      <c r="D7" s="449"/>
      <c r="E7" s="449"/>
      <c r="F7" s="449"/>
      <c r="G7" s="449"/>
      <c r="H7" s="449"/>
      <c r="I7" s="449"/>
      <c r="J7" s="449"/>
      <c r="K7" s="449"/>
      <c r="L7" s="112"/>
      <c r="M7" s="112"/>
      <c r="N7" s="112"/>
      <c r="O7" s="115"/>
    </row>
    <row r="8" spans="1:15" ht="31" customHeight="1">
      <c r="A8" s="171"/>
      <c r="B8" s="211"/>
      <c r="C8" s="211"/>
      <c r="D8" s="211"/>
      <c r="E8" s="211"/>
      <c r="F8" s="211"/>
      <c r="G8" s="211"/>
      <c r="H8" s="211"/>
      <c r="I8" s="211"/>
      <c r="J8" s="211"/>
      <c r="K8" s="211"/>
      <c r="L8" s="112"/>
      <c r="M8" s="112"/>
      <c r="N8" s="112"/>
      <c r="O8" s="115"/>
    </row>
    <row r="9" spans="1:15" ht="18.5">
      <c r="A9" s="210" t="s">
        <v>172</v>
      </c>
      <c r="B9" s="116"/>
      <c r="C9" s="112"/>
      <c r="D9" s="112"/>
      <c r="E9" s="112"/>
      <c r="F9" s="112"/>
      <c r="G9" s="112"/>
      <c r="H9" s="112"/>
      <c r="I9" s="112"/>
      <c r="J9" s="112"/>
      <c r="K9" s="112"/>
      <c r="L9" s="112"/>
      <c r="M9" s="112"/>
      <c r="N9" s="112"/>
      <c r="O9" s="115"/>
    </row>
    <row r="10" spans="1:15" ht="55.5">
      <c r="A10" s="215" t="s">
        <v>246</v>
      </c>
      <c r="B10" s="221" t="s">
        <v>234</v>
      </c>
      <c r="C10" s="112"/>
      <c r="D10" s="112"/>
      <c r="E10" s="112"/>
      <c r="F10" s="112"/>
      <c r="G10" s="112"/>
      <c r="H10" s="112"/>
      <c r="I10" s="455" t="s">
        <v>115</v>
      </c>
      <c r="J10" s="456"/>
      <c r="K10" s="456"/>
      <c r="L10" s="112"/>
      <c r="M10" s="112"/>
      <c r="N10" s="112"/>
      <c r="O10" s="115"/>
    </row>
    <row r="11" spans="1:15" ht="46" customHeight="1">
      <c r="A11" s="222" t="s">
        <v>173</v>
      </c>
      <c r="B11" s="223"/>
      <c r="C11" s="112"/>
      <c r="D11" s="112"/>
      <c r="E11" s="112"/>
      <c r="F11" s="112"/>
      <c r="G11" s="112"/>
      <c r="H11" s="112"/>
      <c r="I11" s="457" t="s">
        <v>92</v>
      </c>
      <c r="J11" s="458"/>
      <c r="K11" s="219">
        <f>B12/Notes!E29</f>
        <v>266.02819898909286</v>
      </c>
      <c r="L11" s="112"/>
      <c r="M11" s="112"/>
      <c r="N11" s="112"/>
      <c r="O11" s="115"/>
    </row>
    <row r="12" spans="1:15" ht="37">
      <c r="A12" s="215" t="s">
        <v>116</v>
      </c>
      <c r="B12" s="265">
        <v>2000000</v>
      </c>
      <c r="C12" s="112"/>
      <c r="D12" s="112"/>
      <c r="E12" s="112"/>
      <c r="F12" s="112"/>
      <c r="G12" s="112"/>
      <c r="H12" s="112"/>
      <c r="I12" s="457" t="s">
        <v>91</v>
      </c>
      <c r="J12" s="457"/>
      <c r="K12" s="219">
        <f>IF(B10="2021 Riparian",(K11*1.5),IF(B10="2021 Non-Riparian",(K11*1.1),IF(B10="2014 Riparian",(K11*0.38),IF(B10="2014 Non-Riparian",(K11*0.38)))))</f>
        <v>399.04229848363929</v>
      </c>
      <c r="L12" s="112"/>
      <c r="M12" s="112"/>
      <c r="N12" s="112"/>
      <c r="O12" s="115"/>
    </row>
    <row r="13" spans="1:15" ht="37">
      <c r="A13" s="215" t="s">
        <v>94</v>
      </c>
      <c r="B13" s="265"/>
      <c r="C13" s="112"/>
      <c r="D13" s="112"/>
      <c r="E13" s="112"/>
      <c r="F13" s="112"/>
      <c r="G13" s="112"/>
      <c r="H13" s="112"/>
      <c r="I13" s="407" t="s">
        <v>95</v>
      </c>
      <c r="J13" s="407"/>
      <c r="K13" s="220">
        <f>-PMT($B$14,$B$15,($B$12-$B$13))</f>
        <v>143133.97087970623</v>
      </c>
      <c r="L13" s="112"/>
      <c r="M13" s="112"/>
      <c r="N13" s="112"/>
      <c r="O13" s="115"/>
    </row>
    <row r="14" spans="1:15" ht="35">
      <c r="A14" s="224" t="s">
        <v>97</v>
      </c>
      <c r="B14" s="266">
        <v>8.9999999999999993E-3</v>
      </c>
      <c r="C14" s="112"/>
      <c r="D14" s="112"/>
      <c r="E14" s="112"/>
      <c r="F14" s="112"/>
      <c r="G14" s="112"/>
      <c r="H14" s="112"/>
      <c r="I14" s="461"/>
      <c r="J14" s="462"/>
      <c r="K14" s="462"/>
      <c r="L14" s="112"/>
      <c r="M14" s="112"/>
      <c r="N14" s="112"/>
      <c r="O14" s="115"/>
    </row>
    <row r="15" spans="1:15" ht="55.5">
      <c r="A15" s="215" t="s">
        <v>110</v>
      </c>
      <c r="B15" s="274">
        <v>15</v>
      </c>
      <c r="C15" s="112"/>
      <c r="D15" s="112"/>
      <c r="E15" s="112"/>
      <c r="F15" s="112"/>
      <c r="G15" s="112"/>
      <c r="H15" s="112"/>
      <c r="I15" s="463"/>
      <c r="J15" s="463"/>
      <c r="K15" s="463"/>
      <c r="L15" s="112"/>
      <c r="M15" s="112" t="s">
        <v>175</v>
      </c>
      <c r="N15" s="112"/>
      <c r="O15" s="115"/>
    </row>
    <row r="16" spans="1:15" ht="23.25" customHeight="1" thickBot="1">
      <c r="A16" s="117"/>
      <c r="B16" s="111"/>
      <c r="C16" s="108"/>
      <c r="D16" s="108"/>
      <c r="E16" s="108"/>
      <c r="F16" s="108"/>
      <c r="G16" s="108"/>
      <c r="H16" s="108"/>
      <c r="I16" s="109"/>
      <c r="J16" s="109"/>
      <c r="K16" s="110"/>
      <c r="L16" s="108"/>
      <c r="M16" s="108"/>
      <c r="N16" s="108"/>
      <c r="O16" s="118"/>
    </row>
    <row r="17" spans="1:17" ht="37" customHeight="1">
      <c r="A17" s="453" t="s">
        <v>262</v>
      </c>
      <c r="B17" s="454"/>
      <c r="C17" s="454"/>
      <c r="D17" s="119"/>
      <c r="E17" s="119"/>
      <c r="F17" s="119"/>
      <c r="G17" s="119"/>
      <c r="H17" s="119"/>
      <c r="I17" s="136"/>
      <c r="J17" s="136"/>
      <c r="K17" s="137"/>
      <c r="L17" s="119"/>
      <c r="M17" s="119"/>
      <c r="N17" s="119"/>
      <c r="O17" s="120"/>
    </row>
    <row r="18" spans="1:17" ht="44.25" customHeight="1">
      <c r="A18" s="459" t="s">
        <v>254</v>
      </c>
      <c r="B18" s="460"/>
      <c r="C18" s="460"/>
      <c r="D18" s="460"/>
      <c r="E18" s="460"/>
      <c r="F18" s="460"/>
      <c r="G18" s="460"/>
      <c r="H18" s="460"/>
      <c r="I18" s="460"/>
      <c r="J18" s="460"/>
      <c r="K18" s="460"/>
      <c r="L18" s="460"/>
      <c r="M18" s="119"/>
      <c r="N18" s="119"/>
      <c r="O18" s="120"/>
    </row>
    <row r="19" spans="1:17">
      <c r="A19" s="121"/>
      <c r="B19" s="122"/>
      <c r="C19" s="119"/>
      <c r="D19" s="119"/>
      <c r="E19" s="119"/>
      <c r="F19" s="119"/>
      <c r="G19" s="119"/>
      <c r="H19" s="119"/>
      <c r="I19" s="119"/>
      <c r="J19" s="119"/>
      <c r="K19" s="119"/>
      <c r="L19" s="119"/>
      <c r="M19" s="119"/>
      <c r="N19" s="119"/>
      <c r="O19" s="120"/>
    </row>
    <row r="20" spans="1:17" ht="26">
      <c r="A20" s="279" t="s">
        <v>106</v>
      </c>
      <c r="B20" s="122"/>
      <c r="C20" s="119"/>
      <c r="D20" s="119"/>
      <c r="E20" s="119"/>
      <c r="F20" s="119"/>
      <c r="G20" s="119"/>
      <c r="H20" s="119"/>
      <c r="I20" s="119"/>
      <c r="J20" s="119"/>
      <c r="K20" s="119"/>
      <c r="L20" s="119"/>
      <c r="M20" s="119"/>
      <c r="N20" s="119"/>
      <c r="O20" s="120"/>
    </row>
    <row r="21" spans="1:17" ht="18.5">
      <c r="A21" s="123" t="s">
        <v>117</v>
      </c>
      <c r="B21" s="122"/>
      <c r="C21" s="119"/>
      <c r="D21" s="119"/>
      <c r="E21" s="119"/>
      <c r="F21" s="119"/>
      <c r="G21" s="119"/>
      <c r="H21" s="119"/>
      <c r="I21" s="119"/>
      <c r="J21" s="119"/>
      <c r="K21" s="119"/>
      <c r="L21" s="119"/>
      <c r="M21" s="119"/>
      <c r="N21" s="119"/>
      <c r="O21" s="120"/>
    </row>
    <row r="22" spans="1:17" ht="55.5">
      <c r="A22" s="215" t="s">
        <v>238</v>
      </c>
      <c r="B22" s="221" t="s">
        <v>234</v>
      </c>
      <c r="C22" s="225" t="s">
        <v>249</v>
      </c>
      <c r="D22" s="281" t="s">
        <v>55</v>
      </c>
      <c r="E22" s="226"/>
      <c r="F22" s="226"/>
      <c r="G22" s="119"/>
      <c r="H22" s="119"/>
      <c r="I22" s="439" t="s">
        <v>187</v>
      </c>
      <c r="J22" s="440"/>
      <c r="K22" s="440"/>
      <c r="L22" s="441"/>
      <c r="M22" s="119"/>
      <c r="N22" s="153"/>
      <c r="O22" s="120"/>
      <c r="P22" s="152"/>
      <c r="Q22" s="152"/>
    </row>
    <row r="23" spans="1:17" ht="18.5">
      <c r="A23" s="227"/>
      <c r="B23" s="228"/>
      <c r="C23" s="226"/>
      <c r="D23" s="226"/>
      <c r="E23" s="226"/>
      <c r="F23" s="226"/>
      <c r="G23" s="119"/>
      <c r="H23" s="119"/>
      <c r="I23" s="442"/>
      <c r="J23" s="443"/>
      <c r="K23" s="443"/>
      <c r="L23" s="444"/>
      <c r="M23" s="119"/>
      <c r="N23" s="154"/>
      <c r="O23" s="120"/>
      <c r="P23" s="150"/>
      <c r="Q23" s="150"/>
    </row>
    <row r="24" spans="1:17" ht="55.5">
      <c r="A24" s="215" t="s">
        <v>185</v>
      </c>
      <c r="B24" s="281">
        <v>50</v>
      </c>
      <c r="C24" s="278" t="s">
        <v>186</v>
      </c>
      <c r="D24" s="281">
        <v>100</v>
      </c>
      <c r="E24" s="226"/>
      <c r="F24" s="226"/>
      <c r="G24" s="119"/>
      <c r="H24" s="119"/>
      <c r="I24" s="442"/>
      <c r="J24" s="443"/>
      <c r="K24" s="443"/>
      <c r="L24" s="444"/>
      <c r="M24" s="119"/>
      <c r="N24" s="155"/>
      <c r="O24" s="120"/>
      <c r="P24" s="148"/>
      <c r="Q24" s="148"/>
    </row>
    <row r="25" spans="1:17" ht="18.5">
      <c r="A25" s="464"/>
      <c r="B25" s="465"/>
      <c r="C25" s="226"/>
      <c r="D25" s="226"/>
      <c r="E25" s="226"/>
      <c r="F25" s="226"/>
      <c r="G25" s="119"/>
      <c r="H25" s="119"/>
      <c r="I25" s="445"/>
      <c r="J25" s="446"/>
      <c r="K25" s="446"/>
      <c r="L25" s="447"/>
      <c r="M25" s="119"/>
      <c r="N25" s="155"/>
      <c r="O25" s="120"/>
      <c r="P25" s="148"/>
      <c r="Q25" s="148"/>
    </row>
    <row r="26" spans="1:17" ht="46" customHeight="1">
      <c r="A26" s="405" t="s">
        <v>182</v>
      </c>
      <c r="B26" s="407"/>
      <c r="C26" s="407"/>
      <c r="D26" s="253" t="s">
        <v>99</v>
      </c>
      <c r="E26" s="119"/>
      <c r="F26" s="226"/>
      <c r="G26" s="119"/>
      <c r="H26" s="119"/>
      <c r="I26" s="119"/>
      <c r="J26" s="119"/>
      <c r="K26" s="119"/>
      <c r="L26" s="119"/>
      <c r="M26" s="119"/>
      <c r="N26" s="155"/>
      <c r="O26" s="120"/>
      <c r="P26" s="148"/>
      <c r="Q26" s="148"/>
    </row>
    <row r="27" spans="1:17" ht="46" customHeight="1">
      <c r="A27" s="229"/>
      <c r="B27" s="230"/>
      <c r="C27" s="226"/>
      <c r="D27" s="226"/>
      <c r="E27" s="226"/>
      <c r="F27" s="226"/>
      <c r="G27" s="119"/>
      <c r="H27" s="119"/>
      <c r="I27" s="466" t="s">
        <v>212</v>
      </c>
      <c r="J27" s="263" t="s">
        <v>214</v>
      </c>
      <c r="K27" s="263" t="s">
        <v>213</v>
      </c>
      <c r="L27" s="263" t="s">
        <v>215</v>
      </c>
      <c r="M27" s="119"/>
      <c r="N27" s="155"/>
      <c r="O27" s="120"/>
      <c r="P27" s="148"/>
      <c r="Q27" s="148"/>
    </row>
    <row r="28" spans="1:17" ht="28" customHeight="1" thickBot="1">
      <c r="A28" s="405" t="s">
        <v>188</v>
      </c>
      <c r="B28" s="408">
        <v>0</v>
      </c>
      <c r="C28" s="407" t="s">
        <v>192</v>
      </c>
      <c r="D28" s="408">
        <v>50</v>
      </c>
      <c r="E28" s="226"/>
      <c r="F28" s="226"/>
      <c r="G28" s="119"/>
      <c r="H28" s="119"/>
      <c r="I28" s="467"/>
      <c r="J28" s="303" t="str">
        <f>B22</f>
        <v>2021 Riparian</v>
      </c>
      <c r="K28" s="303" t="str">
        <f>D22</f>
        <v>Turf</v>
      </c>
      <c r="L28" s="303">
        <f>B24</f>
        <v>50</v>
      </c>
      <c r="M28" s="119"/>
      <c r="N28" s="155"/>
      <c r="O28" s="120"/>
      <c r="P28" s="148"/>
      <c r="Q28" s="148"/>
    </row>
    <row r="29" spans="1:17" ht="30.75" customHeight="1">
      <c r="A29" s="405"/>
      <c r="B29" s="408"/>
      <c r="C29" s="407"/>
      <c r="D29" s="408"/>
      <c r="E29" s="226"/>
      <c r="F29" s="226"/>
      <c r="G29" s="119"/>
      <c r="H29" s="119"/>
      <c r="I29" s="413" t="s">
        <v>71</v>
      </c>
      <c r="J29" s="414"/>
      <c r="K29" s="414"/>
      <c r="L29" s="415"/>
      <c r="M29" s="119"/>
      <c r="N29" s="155"/>
      <c r="O29" s="120"/>
      <c r="P29" s="148"/>
      <c r="Q29" s="148"/>
    </row>
    <row r="30" spans="1:17" s="42" customFormat="1" ht="19" customHeight="1">
      <c r="A30" s="409" t="str">
        <f>IF((D28+B28)=B24,"","Warning! Total acreage must equal total acres in #2A (Row 24)")</f>
        <v/>
      </c>
      <c r="B30" s="410"/>
      <c r="C30" s="410"/>
      <c r="D30" s="410"/>
      <c r="E30" s="226"/>
      <c r="F30" s="226"/>
      <c r="G30" s="119"/>
      <c r="H30" s="119"/>
      <c r="I30" s="416"/>
      <c r="J30" s="417"/>
      <c r="K30" s="417"/>
      <c r="L30" s="418"/>
      <c r="M30" s="119"/>
      <c r="N30" s="155"/>
      <c r="O30" s="120"/>
      <c r="P30" s="148"/>
      <c r="Q30" s="148"/>
    </row>
    <row r="31" spans="1:17" s="42" customFormat="1" ht="55.5">
      <c r="A31" s="215" t="s">
        <v>183</v>
      </c>
      <c r="B31" s="221" t="s">
        <v>66</v>
      </c>
      <c r="C31" s="278" t="s">
        <v>84</v>
      </c>
      <c r="D31" s="231">
        <v>25</v>
      </c>
      <c r="E31" s="228"/>
      <c r="F31" s="228"/>
      <c r="G31" s="119"/>
      <c r="H31" s="119"/>
      <c r="I31" s="264" t="s">
        <v>73</v>
      </c>
      <c r="J31" s="264" t="s">
        <v>72</v>
      </c>
      <c r="K31" s="264" t="s">
        <v>1</v>
      </c>
      <c r="L31" s="264" t="s">
        <v>0</v>
      </c>
      <c r="M31" s="119"/>
      <c r="N31" s="155"/>
      <c r="O31" s="120"/>
      <c r="P31" s="148"/>
      <c r="Q31" s="148"/>
    </row>
    <row r="32" spans="1:17" s="42" customFormat="1" ht="29.25" customHeight="1">
      <c r="A32" s="227"/>
      <c r="B32" s="228"/>
      <c r="C32" s="246"/>
      <c r="D32" s="232"/>
      <c r="E32" s="228"/>
      <c r="F32" s="228"/>
      <c r="G32" s="119"/>
      <c r="H32" s="119"/>
      <c r="I32" s="90" t="s">
        <v>189</v>
      </c>
      <c r="J32" s="92">
        <f t="shared" ref="J32" si="0">K32*0.75</f>
        <v>75000</v>
      </c>
      <c r="K32" s="92">
        <f>VLOOKUP(D26,Notes!A40:D48,2,TRUE)*B24</f>
        <v>100000</v>
      </c>
      <c r="L32" s="92">
        <f t="shared" ref="L32" si="1">K32*1.25</f>
        <v>125000</v>
      </c>
      <c r="M32" s="119"/>
      <c r="N32" s="155"/>
      <c r="O32" s="120"/>
      <c r="P32" s="148"/>
      <c r="Q32" s="148"/>
    </row>
    <row r="33" spans="1:18" s="42" customFormat="1" ht="55.5">
      <c r="A33" s="215" t="s">
        <v>184</v>
      </c>
      <c r="B33" s="221" t="s">
        <v>68</v>
      </c>
      <c r="C33" s="247" t="s">
        <v>84</v>
      </c>
      <c r="D33" s="231">
        <v>25</v>
      </c>
      <c r="E33" s="228"/>
      <c r="F33" s="228"/>
      <c r="G33" s="119"/>
      <c r="H33" s="119"/>
      <c r="I33" s="90" t="s">
        <v>176</v>
      </c>
      <c r="J33" s="242">
        <f>K33*0.75</f>
        <v>0</v>
      </c>
      <c r="K33" s="242">
        <f>B28*52.94</f>
        <v>0</v>
      </c>
      <c r="L33" s="242">
        <f>K33*1.25</f>
        <v>0</v>
      </c>
      <c r="M33" s="119"/>
      <c r="N33" s="155"/>
      <c r="O33" s="120"/>
      <c r="P33" s="148"/>
      <c r="Q33" s="149"/>
    </row>
    <row r="34" spans="1:18" s="42" customFormat="1" ht="29.25" customHeight="1">
      <c r="A34" s="411" t="str">
        <f>IF((D33+D31)=D28,"","Warning! Total acreage must equal total acres in #5 (Row 28)")</f>
        <v/>
      </c>
      <c r="B34" s="412"/>
      <c r="C34" s="412"/>
      <c r="D34" s="412"/>
      <c r="E34" s="226"/>
      <c r="F34" s="226"/>
      <c r="G34" s="119"/>
      <c r="H34" s="119"/>
      <c r="I34" s="90" t="s">
        <v>190</v>
      </c>
      <c r="J34" s="93">
        <f>K34*0.75</f>
        <v>39375</v>
      </c>
      <c r="K34" s="93">
        <f>IF(B31="Hardwood Seedling",13*D31*D24,0)+IF(B33="Conifer seedling",8*D33*D24,0)</f>
        <v>52500</v>
      </c>
      <c r="L34" s="93">
        <f>K34*1.25</f>
        <v>65625</v>
      </c>
      <c r="M34" s="119"/>
      <c r="N34" s="155"/>
      <c r="O34" s="120"/>
      <c r="P34" s="148"/>
      <c r="Q34" s="148"/>
    </row>
    <row r="35" spans="1:18" s="42" customFormat="1" ht="26.25" customHeight="1">
      <c r="A35" s="123" t="s">
        <v>283</v>
      </c>
      <c r="B35" s="233"/>
      <c r="C35" s="226"/>
      <c r="D35" s="226"/>
      <c r="E35" s="226"/>
      <c r="F35" s="226"/>
      <c r="G35" s="119"/>
      <c r="H35" s="119"/>
      <c r="I35" s="91" t="s">
        <v>191</v>
      </c>
      <c r="J35" s="105">
        <f>K35*0.75</f>
        <v>0</v>
      </c>
      <c r="K35" s="93">
        <f>IF(B31="Hardwood containerized tree",18*D31*D24,0)+IF(B33="Conifer containerized tree",13*D33*D24,0)</f>
        <v>0</v>
      </c>
      <c r="L35" s="105">
        <f>K35*1.25</f>
        <v>0</v>
      </c>
      <c r="M35" s="119"/>
      <c r="N35" s="155"/>
      <c r="O35" s="120"/>
      <c r="P35" s="148"/>
      <c r="Q35" s="148"/>
    </row>
    <row r="36" spans="1:18" s="42" customFormat="1" ht="36" customHeight="1">
      <c r="A36" s="405" t="s">
        <v>216</v>
      </c>
      <c r="B36" s="407"/>
      <c r="C36" s="407"/>
      <c r="D36" s="281" t="s">
        <v>99</v>
      </c>
      <c r="E36" s="226"/>
      <c r="F36" s="226"/>
      <c r="G36" s="119"/>
      <c r="H36" s="119"/>
      <c r="I36" s="213" t="s">
        <v>217</v>
      </c>
      <c r="J36" s="93">
        <f t="shared" ref="J36:J41" si="2">K36*0.75</f>
        <v>9375</v>
      </c>
      <c r="K36" s="92">
        <f>VLOOKUP(D36,Notes!A59:D67,2,TRUE)*B24</f>
        <v>12500</v>
      </c>
      <c r="L36" s="93">
        <f>K36*1.25</f>
        <v>15625</v>
      </c>
      <c r="M36" s="119"/>
      <c r="N36" s="155"/>
      <c r="O36" s="120"/>
      <c r="P36" s="148"/>
      <c r="Q36" s="148"/>
    </row>
    <row r="37" spans="1:18" ht="22" customHeight="1">
      <c r="A37" s="234"/>
      <c r="B37" s="233"/>
      <c r="C37" s="226"/>
      <c r="D37" s="226"/>
      <c r="E37" s="226"/>
      <c r="F37" s="226"/>
      <c r="G37" s="119"/>
      <c r="H37" s="119"/>
      <c r="I37" s="90" t="s">
        <v>177</v>
      </c>
      <c r="J37" s="92">
        <f t="shared" si="2"/>
        <v>28125</v>
      </c>
      <c r="K37" s="92">
        <f>VLOOKUP(B38,Notes!A70:D78,2,TRUE)*B24</f>
        <v>37500</v>
      </c>
      <c r="L37" s="92">
        <f>K37*1.24</f>
        <v>46500</v>
      </c>
      <c r="M37" s="119"/>
      <c r="N37" s="126"/>
      <c r="O37" s="120"/>
      <c r="P37" s="148"/>
      <c r="Q37" s="148"/>
    </row>
    <row r="38" spans="1:18" ht="26.25" customHeight="1">
      <c r="A38" s="405" t="s">
        <v>118</v>
      </c>
      <c r="B38" s="428" t="s">
        <v>99</v>
      </c>
      <c r="C38" s="430" t="s">
        <v>119</v>
      </c>
      <c r="D38" s="406" t="s">
        <v>99</v>
      </c>
      <c r="E38" s="226"/>
      <c r="F38" s="226"/>
      <c r="G38" s="119"/>
      <c r="H38" s="119"/>
      <c r="I38" s="90" t="s">
        <v>178</v>
      </c>
      <c r="J38" s="92">
        <f t="shared" si="2"/>
        <v>1500</v>
      </c>
      <c r="K38" s="92">
        <f>IF(B24=0,0,VLOOKUP(D38,Notes!A81:D87,2,TRUE))</f>
        <v>2000</v>
      </c>
      <c r="L38" s="92">
        <f>K38*1.25</f>
        <v>2500</v>
      </c>
      <c r="M38" s="119"/>
      <c r="N38" s="156"/>
      <c r="O38" s="120"/>
      <c r="P38" s="151"/>
      <c r="Q38" s="151"/>
    </row>
    <row r="39" spans="1:18" ht="28" customHeight="1">
      <c r="A39" s="405"/>
      <c r="B39" s="429"/>
      <c r="C39" s="430"/>
      <c r="D39" s="406"/>
      <c r="E39" s="226"/>
      <c r="F39" s="226"/>
      <c r="G39" s="119"/>
      <c r="H39" s="119"/>
      <c r="I39" s="90" t="s">
        <v>121</v>
      </c>
      <c r="J39" s="92">
        <f t="shared" si="2"/>
        <v>750</v>
      </c>
      <c r="K39" s="92">
        <f>VLOOKUP(B41,Notes!A90:D96,2,TRUE)</f>
        <v>1000</v>
      </c>
      <c r="L39" s="92">
        <f>K39*1.25</f>
        <v>1250</v>
      </c>
      <c r="M39" s="119"/>
      <c r="N39" s="119"/>
      <c r="O39" s="120"/>
    </row>
    <row r="40" spans="1:18" ht="26.25" customHeight="1">
      <c r="A40" s="121"/>
      <c r="B40" s="122"/>
      <c r="C40" s="243"/>
      <c r="D40" s="244"/>
      <c r="E40" s="226"/>
      <c r="F40" s="226"/>
      <c r="G40" s="119"/>
      <c r="H40" s="119"/>
      <c r="I40" s="90" t="s">
        <v>122</v>
      </c>
      <c r="J40" s="92">
        <f t="shared" si="2"/>
        <v>225000</v>
      </c>
      <c r="K40" s="92">
        <f>D44*B24</f>
        <v>300000</v>
      </c>
      <c r="L40" s="92">
        <f>K40*1.25</f>
        <v>375000</v>
      </c>
      <c r="M40" s="119"/>
      <c r="N40" s="119"/>
      <c r="O40" s="120"/>
    </row>
    <row r="41" spans="1:18" ht="26.25" customHeight="1">
      <c r="A41" s="405" t="s">
        <v>120</v>
      </c>
      <c r="B41" s="406" t="s">
        <v>99</v>
      </c>
      <c r="C41" s="245"/>
      <c r="D41" s="244"/>
      <c r="E41" s="226"/>
      <c r="F41" s="226"/>
      <c r="G41" s="119"/>
      <c r="H41" s="119"/>
      <c r="I41" s="90" t="s">
        <v>124</v>
      </c>
      <c r="J41" s="92">
        <f t="shared" si="2"/>
        <v>71887.5</v>
      </c>
      <c r="K41" s="92">
        <f>B46</f>
        <v>95850</v>
      </c>
      <c r="L41" s="92">
        <f>K41*1.25</f>
        <v>119812.5</v>
      </c>
      <c r="M41" s="119"/>
      <c r="N41" s="119"/>
      <c r="O41" s="120"/>
    </row>
    <row r="42" spans="1:18" ht="31" customHeight="1">
      <c r="A42" s="405"/>
      <c r="B42" s="406"/>
      <c r="C42" s="267"/>
      <c r="D42" s="244"/>
      <c r="E42" s="226"/>
      <c r="F42" s="226"/>
      <c r="G42" s="119"/>
      <c r="H42" s="119"/>
      <c r="I42" s="157" t="s">
        <v>77</v>
      </c>
      <c r="J42" s="158">
        <f>SUM(J32:J41)</f>
        <v>451012.5</v>
      </c>
      <c r="K42" s="158">
        <f>SUM(K32:K41)</f>
        <v>601350</v>
      </c>
      <c r="L42" s="158">
        <f>SUM(L32:L41)</f>
        <v>751312.5</v>
      </c>
      <c r="M42" s="119"/>
      <c r="N42" s="119"/>
      <c r="O42" s="120"/>
      <c r="P42" s="347"/>
      <c r="Q42" s="347"/>
      <c r="R42" s="347"/>
    </row>
    <row r="43" spans="1:18" ht="43" customHeight="1">
      <c r="A43" s="123" t="s">
        <v>74</v>
      </c>
      <c r="B43" s="230"/>
      <c r="C43" s="214"/>
      <c r="D43" s="226"/>
      <c r="E43" s="226"/>
      <c r="F43" s="226"/>
      <c r="G43" s="119"/>
      <c r="H43" s="119"/>
      <c r="I43" s="119"/>
      <c r="J43" s="119"/>
      <c r="K43" s="119"/>
      <c r="L43" s="119"/>
      <c r="M43" s="119"/>
      <c r="N43" s="119"/>
      <c r="O43" s="120"/>
    </row>
    <row r="44" spans="1:18" ht="86.25" customHeight="1">
      <c r="A44" s="405" t="s">
        <v>247</v>
      </c>
      <c r="B44" s="407"/>
      <c r="C44" s="407"/>
      <c r="D44" s="269">
        <v>6000</v>
      </c>
      <c r="E44" s="119"/>
      <c r="F44" s="226"/>
      <c r="G44" s="119"/>
      <c r="H44" s="119"/>
      <c r="I44" s="434" t="s">
        <v>111</v>
      </c>
      <c r="J44" s="435"/>
      <c r="K44" s="435"/>
      <c r="L44" s="435"/>
      <c r="M44" s="119"/>
      <c r="N44" s="119"/>
      <c r="O44" s="120"/>
    </row>
    <row r="45" spans="1:18" ht="39" customHeight="1">
      <c r="A45" s="123" t="s">
        <v>123</v>
      </c>
      <c r="B45" s="230"/>
      <c r="C45" s="214"/>
      <c r="D45" s="226"/>
      <c r="E45" s="226"/>
      <c r="F45" s="226"/>
      <c r="G45" s="119"/>
      <c r="H45" s="119"/>
      <c r="I45" s="264" t="s">
        <v>73</v>
      </c>
      <c r="J45" s="264" t="s">
        <v>72</v>
      </c>
      <c r="K45" s="264" t="s">
        <v>1</v>
      </c>
      <c r="L45" s="264" t="s">
        <v>0</v>
      </c>
      <c r="M45" s="119"/>
      <c r="N45" s="119"/>
      <c r="O45" s="120"/>
    </row>
    <row r="46" spans="1:18" ht="62.25" customHeight="1">
      <c r="A46" s="215" t="s">
        <v>193</v>
      </c>
      <c r="B46" s="270">
        <v>95850</v>
      </c>
      <c r="C46" s="214"/>
      <c r="D46" s="275"/>
      <c r="E46" s="226"/>
      <c r="F46" s="226"/>
      <c r="G46" s="119"/>
      <c r="H46" s="119"/>
      <c r="I46" s="302" t="s">
        <v>96</v>
      </c>
      <c r="J46" s="268">
        <f>IF($B$52&lt;=20,-PMT(($B$50+0.35%),$B$52,(J$42-$B$49)),-PMT(($B$50+0.5%),$B$52,(J$42-$B$49)))</f>
        <v>18514.659663387141</v>
      </c>
      <c r="K46" s="268">
        <f>IF($B$52&lt;=20,-PMT(($B$50+0.35%),$B$52,(K$42-$B$49)),-PMT(($B$50+0.5%),$B$52,(K$42-$B$49)))</f>
        <v>24686.212884516193</v>
      </c>
      <c r="L46" s="268">
        <f>IF($B$52&lt;=20,-PMT(($B$50+0.35%),$B$52,(L$42-$B$49)),-PMT(($B$50+0.5%),$B$52,(L$42-$B$49)))</f>
        <v>30842.371859645918</v>
      </c>
      <c r="M46" s="119"/>
      <c r="N46" s="119"/>
      <c r="O46" s="120"/>
    </row>
    <row r="47" spans="1:18" ht="58" customHeight="1">
      <c r="A47" s="143"/>
      <c r="B47" s="249"/>
      <c r="C47" s="214"/>
      <c r="D47" s="275"/>
      <c r="E47" s="226"/>
      <c r="F47" s="226"/>
      <c r="G47" s="119"/>
      <c r="H47" s="119"/>
      <c r="I47" s="216" t="s">
        <v>112</v>
      </c>
      <c r="J47" s="248">
        <f>J46*$B$52</f>
        <v>555439.78990161419</v>
      </c>
      <c r="K47" s="248">
        <f>K46*$B$52</f>
        <v>740586.38653548574</v>
      </c>
      <c r="L47" s="248">
        <f>L46*$B$52</f>
        <v>925271.15578937752</v>
      </c>
      <c r="M47" s="119"/>
      <c r="N47" s="119"/>
      <c r="O47" s="120"/>
    </row>
    <row r="48" spans="1:18" ht="21" customHeight="1">
      <c r="A48" s="123" t="s">
        <v>105</v>
      </c>
      <c r="B48" s="233"/>
      <c r="C48" s="226"/>
      <c r="D48" s="226"/>
      <c r="E48" s="226"/>
      <c r="F48" s="226"/>
      <c r="G48" s="119"/>
      <c r="H48" s="119"/>
      <c r="I48" s="378" t="s">
        <v>136</v>
      </c>
      <c r="J48" s="380">
        <f>IF($B$51="Yes",($B$52*-PMT($D$51,$B$52,(J$42-$B$49)))-J$47,IF(AND($B$51="No",$D$50="No"),($B$52*-PMT(($B$50*2),$B$52,(J$42-$B$49)))-J$47,IF(AND($B$51="No",$D$50="Yes"),($B$52*-PMT(($B$50*4),$B$52,(J$42-$B$49)))-J$47,0)))</f>
        <v>324730.52102268313</v>
      </c>
      <c r="K48" s="380">
        <f>IF($B$51="Yes",($B$52*-PMT($D$51,$B$52,(K$42-$B$49)))-K$47,IF(AND($B$51="No",$D$50="No"),($B$52*-PMT(($B$50*2),$B$52,(K$42-$B$49)))-K$47,IF(AND($B$51="No",$D$50="Yes"),($B$52*-PMT(($B$50*4),$B$52,(K$42-$B$49)))-K$47,0)))</f>
        <v>432974.0280302437</v>
      </c>
      <c r="L48" s="380">
        <f>IF($B$51="Yes",($B$52*-PMT($D$51,$B$52,(L$42-$B$49)))-L$47,IF(AND($B$51="No",$D$50="No"),($B$52*-PMT(($B$50*2),$B$52,(L$42-$B$49)))-L$47,IF(AND($B$51="No",$D$50="Yes"),($B$52*-PMT(($B$50*4),$B$52,(L$42-$B$49)))-L$47,0)))</f>
        <v>540947.53377313155</v>
      </c>
      <c r="M48" s="119"/>
      <c r="N48" s="119"/>
      <c r="O48" s="120"/>
    </row>
    <row r="49" spans="1:15" ht="55.5">
      <c r="A49" s="215" t="s">
        <v>174</v>
      </c>
      <c r="B49" s="235">
        <v>0</v>
      </c>
      <c r="C49" s="226"/>
      <c r="D49" s="226"/>
      <c r="E49" s="226"/>
      <c r="F49" s="226"/>
      <c r="G49" s="119"/>
      <c r="H49" s="119"/>
      <c r="I49" s="379"/>
      <c r="J49" s="381"/>
      <c r="K49" s="381"/>
      <c r="L49" s="381"/>
      <c r="M49" s="119"/>
      <c r="N49" s="119"/>
      <c r="O49" s="120"/>
    </row>
    <row r="50" spans="1:15" ht="70.5" customHeight="1">
      <c r="A50" s="217" t="s">
        <v>180</v>
      </c>
      <c r="B50" s="236">
        <v>8.9999999999999993E-3</v>
      </c>
      <c r="C50" s="218" t="s">
        <v>181</v>
      </c>
      <c r="D50" s="231" t="s">
        <v>70</v>
      </c>
      <c r="E50" s="226"/>
      <c r="F50" s="237"/>
      <c r="G50" s="145"/>
      <c r="H50" s="119"/>
      <c r="I50" s="119"/>
      <c r="J50" s="119"/>
      <c r="K50" s="119"/>
      <c r="L50" s="119"/>
      <c r="M50" s="119"/>
      <c r="N50" s="119"/>
      <c r="O50" s="120"/>
    </row>
    <row r="51" spans="1:15" ht="110.25" customHeight="1">
      <c r="A51" s="238" t="s">
        <v>218</v>
      </c>
      <c r="B51" s="281" t="s">
        <v>69</v>
      </c>
      <c r="C51" s="216" t="s">
        <v>219</v>
      </c>
      <c r="D51" s="236">
        <v>0.05</v>
      </c>
      <c r="E51" s="226"/>
      <c r="F51" s="239"/>
      <c r="G51" s="145"/>
      <c r="H51" s="145"/>
      <c r="I51" s="384" t="s">
        <v>125</v>
      </c>
      <c r="J51" s="385"/>
      <c r="K51" s="385"/>
      <c r="L51" s="386"/>
      <c r="M51" s="119"/>
      <c r="N51" s="119"/>
      <c r="O51" s="120"/>
    </row>
    <row r="52" spans="1:15" ht="55.5">
      <c r="A52" s="240" t="s">
        <v>179</v>
      </c>
      <c r="B52" s="241">
        <v>30</v>
      </c>
      <c r="C52" s="226"/>
      <c r="D52" s="226"/>
      <c r="E52" s="226"/>
      <c r="F52" s="226"/>
      <c r="G52" s="119"/>
      <c r="H52" s="145"/>
      <c r="I52" s="387"/>
      <c r="J52" s="388"/>
      <c r="K52" s="388"/>
      <c r="L52" s="389"/>
      <c r="M52" s="119"/>
      <c r="N52" s="119"/>
      <c r="O52" s="120"/>
    </row>
    <row r="53" spans="1:15" ht="18.5">
      <c r="A53" s="390"/>
      <c r="B53" s="391"/>
      <c r="C53" s="391"/>
      <c r="D53" s="391"/>
      <c r="E53" s="226"/>
      <c r="F53" s="226"/>
      <c r="G53" s="119"/>
      <c r="H53" s="271"/>
      <c r="I53" s="119"/>
      <c r="J53" s="119"/>
      <c r="K53" s="119"/>
      <c r="L53" s="119"/>
      <c r="M53" s="119"/>
      <c r="N53" s="119"/>
      <c r="O53" s="272"/>
    </row>
    <row r="54" spans="1:15" ht="50.25" customHeight="1">
      <c r="A54" s="422" t="s">
        <v>107</v>
      </c>
      <c r="B54" s="423"/>
      <c r="C54" s="139"/>
      <c r="D54" s="139"/>
      <c r="E54" s="139"/>
      <c r="F54" s="139"/>
      <c r="G54" s="139"/>
      <c r="H54" s="139"/>
      <c r="I54" s="139"/>
      <c r="J54" s="139"/>
      <c r="K54" s="139"/>
      <c r="L54" s="139"/>
      <c r="M54" s="139"/>
      <c r="N54" s="139"/>
      <c r="O54" s="120"/>
    </row>
    <row r="55" spans="1:15" ht="40" customHeight="1">
      <c r="A55" s="431" t="s">
        <v>104</v>
      </c>
      <c r="B55" s="432"/>
      <c r="C55" s="432"/>
      <c r="D55" s="432"/>
      <c r="E55" s="119"/>
      <c r="F55" s="119"/>
      <c r="G55" s="119"/>
      <c r="H55" s="119"/>
      <c r="I55" s="138" t="s">
        <v>98</v>
      </c>
      <c r="J55" s="133"/>
      <c r="K55" s="133"/>
      <c r="L55" s="133"/>
      <c r="M55" s="119"/>
      <c r="N55" s="119"/>
      <c r="O55" s="120"/>
    </row>
    <row r="56" spans="1:15" ht="65.25" customHeight="1">
      <c r="A56" s="395" t="s">
        <v>289</v>
      </c>
      <c r="B56" s="396"/>
      <c r="C56" s="396"/>
      <c r="D56" s="396"/>
      <c r="E56" s="273"/>
      <c r="F56" s="273"/>
      <c r="G56" s="119"/>
      <c r="H56" s="119"/>
      <c r="I56" s="401" t="s">
        <v>255</v>
      </c>
      <c r="J56" s="401"/>
      <c r="K56" s="401"/>
      <c r="L56" s="401"/>
      <c r="M56" s="401"/>
      <c r="N56" s="119"/>
      <c r="O56" s="120"/>
    </row>
    <row r="57" spans="1:15" s="42" customFormat="1" ht="62.25" customHeight="1">
      <c r="A57" s="395"/>
      <c r="B57" s="396"/>
      <c r="C57" s="396"/>
      <c r="D57" s="396"/>
      <c r="E57" s="273"/>
      <c r="F57" s="273"/>
      <c r="G57" s="119"/>
      <c r="H57" s="119"/>
      <c r="I57" s="119"/>
      <c r="J57" s="119"/>
      <c r="K57" s="102" t="s">
        <v>199</v>
      </c>
      <c r="L57" s="102" t="s">
        <v>200</v>
      </c>
      <c r="M57" s="102" t="s">
        <v>201</v>
      </c>
      <c r="N57" s="119"/>
      <c r="O57" s="120"/>
    </row>
    <row r="58" spans="1:15" ht="105.75" customHeight="1">
      <c r="A58" s="395"/>
      <c r="B58" s="396"/>
      <c r="C58" s="396"/>
      <c r="D58" s="396"/>
      <c r="E58" s="273"/>
      <c r="F58" s="273"/>
      <c r="G58" s="119"/>
      <c r="H58" s="119"/>
      <c r="I58" s="382" t="s">
        <v>80</v>
      </c>
      <c r="J58" s="383"/>
      <c r="K58" s="296">
        <f>IF(B22="2021 Riparian",'RFB Benefits - Costs'!B22,IF(B22="2014 Riparian",'RFB Benefits - Costs'!D12,IF(B22="2021 Non-Riparian",'RFB Benefits - Costs'!J22,IF(B22="2014 Non-Riparian",'RFB Benefits - Costs'!L12))))</f>
        <v>717</v>
      </c>
      <c r="L58" s="296">
        <f>IF(B22="2021 Riparian",'RFB Benefits - Costs'!B23,IF(B22="2014 Riparian",'RFB Benefits - Costs'!E12,IF(B22="2021 Non-Riparian",'RFB Benefits - Costs'!J23,IF(B22="2014 Non-Riparian",'RFB Benefits - Costs'!M12))))</f>
        <v>125</v>
      </c>
      <c r="M58" s="297">
        <f>IF(B22="2021 Riparian",'RFB Benefits - Costs'!C12,IF(B22="2014 Riparian",'RFB Benefits - Costs'!F12,IF(B22="2021 Non-Riparian",'RFB Benefits - Costs'!K12,IF(B22="2014 Non-Riparian",'RFB Benefits - Costs'!N12))))</f>
        <v>220550</v>
      </c>
      <c r="N58" s="119"/>
      <c r="O58" s="120"/>
    </row>
    <row r="59" spans="1:15" ht="19" customHeight="1">
      <c r="A59" s="143"/>
      <c r="B59" s="119"/>
      <c r="C59" s="119"/>
      <c r="D59" s="119"/>
      <c r="E59" s="119"/>
      <c r="F59" s="119"/>
      <c r="G59" s="119"/>
      <c r="H59" s="119"/>
      <c r="I59" s="119"/>
      <c r="J59" s="119"/>
      <c r="K59" s="119"/>
      <c r="L59" s="119"/>
      <c r="M59" s="119"/>
      <c r="N59" s="119"/>
      <c r="O59" s="120"/>
    </row>
    <row r="60" spans="1:15" ht="62.25" customHeight="1">
      <c r="A60" s="403" t="s">
        <v>286</v>
      </c>
      <c r="B60" s="426"/>
      <c r="C60" s="147">
        <f>IF(AND(B22="2021 Riparian",OR(D22="Turf",D22="Crop",D22="Hay",D22="Pasture")),'RFB Benefits - Costs'!F4,IF(AND(B22="2014 Riparian",OR(D22="Turf",D22="Crop",D22="Hay",D22="Pasture")),'RFB Benefits - Costs'!F5,IF(AND(B22="2021 Non-Riparian",OR(D22="Turf",D22="Mixed Open")),'RFB Benefits - Costs'!N4,IF(AND(B22="2014 Non-Riparian",OR(D22="Turf",D22="Mixed Open")),'RFB Benefits - Costs'!N5,"N/A"))))</f>
        <v>75</v>
      </c>
      <c r="D60" s="284"/>
      <c r="E60" s="212"/>
      <c r="F60" s="161"/>
      <c r="G60" s="119"/>
      <c r="H60" s="119"/>
      <c r="I60" s="401" t="s">
        <v>126</v>
      </c>
      <c r="J60" s="401"/>
      <c r="K60" s="401"/>
      <c r="L60" s="401"/>
      <c r="M60" s="401"/>
      <c r="N60" s="401"/>
      <c r="O60" s="120"/>
    </row>
    <row r="61" spans="1:15" ht="42.75" customHeight="1">
      <c r="A61" s="427"/>
      <c r="B61" s="399"/>
      <c r="C61" s="399"/>
      <c r="D61" s="280"/>
      <c r="E61" s="280"/>
      <c r="F61" s="280"/>
      <c r="G61" s="119"/>
      <c r="H61" s="119"/>
      <c r="I61" s="119"/>
      <c r="J61" s="119"/>
      <c r="K61" s="102" t="s">
        <v>113</v>
      </c>
      <c r="L61" s="102" t="s">
        <v>82</v>
      </c>
      <c r="M61" s="102" t="s">
        <v>114</v>
      </c>
      <c r="N61" s="102" t="s">
        <v>82</v>
      </c>
      <c r="O61" s="120"/>
    </row>
    <row r="62" spans="1:15" ht="80.25" customHeight="1">
      <c r="A62" s="516" t="s">
        <v>294</v>
      </c>
      <c r="B62" s="425"/>
      <c r="C62" s="147" t="str">
        <f>IF(AND(B22="2021 Riparian",OR(D22="Mixed Open")),'RFB Benefits - Costs'!G4,IF(AND(B22="2014 Riparian",OR(D22="Mixed Open")),'RFB Benefits - Costs'!G5,IF(AND(B22="2021 Non-Riparian",OR(D22="Mixed Open")),'RFB Benefits - Costs'!O4,IF(AND(B22="2014 Non-Riparian",OR(D22="Mixed Open")),'RFB Benefits - Costs'!O5,"N/A"))))</f>
        <v>N/A</v>
      </c>
      <c r="D62" s="119"/>
      <c r="E62" s="119"/>
      <c r="F62" s="119"/>
      <c r="G62" s="119"/>
      <c r="H62" s="119"/>
      <c r="I62" s="382" t="s">
        <v>81</v>
      </c>
      <c r="J62" s="383"/>
      <c r="K62" s="147">
        <f>'RFB Benefits - Costs'!B29</f>
        <v>32.5</v>
      </c>
      <c r="L62" s="286">
        <f>'RFB Benefits - Costs'!B30</f>
        <v>97.5</v>
      </c>
      <c r="M62" s="147">
        <f>'RFB Benefits - Costs'!C29</f>
        <v>120</v>
      </c>
      <c r="N62" s="286">
        <f>'RFB Benefits - Costs'!C30</f>
        <v>360</v>
      </c>
      <c r="O62" s="120"/>
    </row>
    <row r="63" spans="1:15" ht="84" customHeight="1">
      <c r="A63" s="291"/>
      <c r="B63" s="122"/>
      <c r="C63" s="119"/>
      <c r="D63" s="119"/>
      <c r="E63" s="119"/>
      <c r="F63" s="119"/>
      <c r="G63" s="119"/>
      <c r="H63" s="119"/>
      <c r="I63" s="399" t="s">
        <v>256</v>
      </c>
      <c r="J63" s="399"/>
      <c r="K63" s="399"/>
      <c r="L63" s="399"/>
      <c r="M63" s="399"/>
      <c r="N63" s="399"/>
      <c r="O63" s="120"/>
    </row>
    <row r="64" spans="1:15" ht="90.75" customHeight="1">
      <c r="A64" s="159"/>
      <c r="B64" s="160"/>
      <c r="C64" s="161"/>
      <c r="D64" s="119"/>
      <c r="E64" s="119"/>
      <c r="F64" s="119"/>
      <c r="G64" s="119"/>
      <c r="H64" s="119"/>
      <c r="I64" s="400"/>
      <c r="J64" s="400"/>
      <c r="K64" s="400"/>
      <c r="L64" s="400"/>
      <c r="M64" s="400"/>
      <c r="N64" s="400"/>
      <c r="O64" s="120"/>
    </row>
    <row r="65" spans="1:23" ht="69" customHeight="1">
      <c r="A65" s="159"/>
      <c r="B65" s="160"/>
      <c r="C65" s="161"/>
      <c r="D65" s="119"/>
      <c r="E65" s="119"/>
      <c r="F65" s="119"/>
      <c r="G65" s="119"/>
      <c r="H65" s="119"/>
      <c r="I65" s="421" t="s">
        <v>131</v>
      </c>
      <c r="J65" s="421"/>
      <c r="K65" s="251" t="s">
        <v>127</v>
      </c>
      <c r="L65" s="252" t="s">
        <v>128</v>
      </c>
      <c r="M65" s="251" t="s">
        <v>129</v>
      </c>
      <c r="N65" s="251" t="s">
        <v>130</v>
      </c>
      <c r="O65" s="120"/>
      <c r="P65" s="2"/>
      <c r="Q65" s="2"/>
      <c r="R65" s="2"/>
      <c r="S65" s="2"/>
      <c r="T65" s="2"/>
      <c r="U65" s="2"/>
      <c r="V65" s="2"/>
      <c r="W65" s="2"/>
    </row>
    <row r="66" spans="1:23" ht="31" customHeight="1">
      <c r="A66" s="159"/>
      <c r="B66" s="160"/>
      <c r="C66" s="161"/>
      <c r="D66" s="119"/>
      <c r="E66" s="119"/>
      <c r="F66" s="119"/>
      <c r="G66" s="119"/>
      <c r="H66" s="119"/>
      <c r="I66" s="421"/>
      <c r="J66" s="421"/>
      <c r="K66" s="298">
        <v>5</v>
      </c>
      <c r="L66" s="299">
        <v>5</v>
      </c>
      <c r="M66" s="300">
        <f>L66*0.2</f>
        <v>1</v>
      </c>
      <c r="N66" s="301">
        <f>(K66*365)*M66</f>
        <v>1825</v>
      </c>
      <c r="O66" s="120"/>
      <c r="P66" s="2"/>
      <c r="Q66" s="2"/>
      <c r="R66" s="2"/>
      <c r="S66" s="2"/>
      <c r="T66" s="2"/>
      <c r="U66" s="2"/>
      <c r="V66" s="2"/>
      <c r="W66" s="2"/>
    </row>
    <row r="67" spans="1:23" ht="43.5" customHeight="1">
      <c r="A67" s="159"/>
      <c r="B67" s="160"/>
      <c r="C67" s="161"/>
      <c r="D67" s="119"/>
      <c r="E67" s="119"/>
      <c r="F67" s="119"/>
      <c r="G67" s="119"/>
      <c r="H67" s="119"/>
      <c r="I67" s="165"/>
      <c r="J67" s="166"/>
      <c r="K67" s="167"/>
      <c r="L67" s="168"/>
      <c r="M67" s="164"/>
      <c r="N67" s="119"/>
      <c r="O67" s="120"/>
      <c r="P67" s="2"/>
      <c r="Q67" s="2"/>
      <c r="R67" s="162"/>
      <c r="S67" s="162"/>
      <c r="T67" s="2"/>
      <c r="U67" s="163"/>
      <c r="V67" s="3"/>
      <c r="W67" s="2"/>
    </row>
    <row r="68" spans="1:23" ht="43.5" customHeight="1">
      <c r="A68" s="422" t="s">
        <v>132</v>
      </c>
      <c r="B68" s="423"/>
      <c r="C68" s="423"/>
      <c r="D68" s="424"/>
      <c r="E68" s="250"/>
      <c r="F68" s="250"/>
      <c r="G68" s="139"/>
      <c r="H68" s="139"/>
      <c r="I68" s="139"/>
      <c r="J68" s="139"/>
      <c r="K68" s="139"/>
      <c r="L68" s="139"/>
      <c r="M68" s="139"/>
      <c r="N68" s="250"/>
      <c r="O68" s="140"/>
      <c r="P68" s="2"/>
      <c r="Q68" s="2"/>
      <c r="R68" s="2"/>
      <c r="S68" s="2"/>
      <c r="T68" s="2"/>
      <c r="U68" s="2"/>
      <c r="V68" s="169"/>
      <c r="W68" s="2"/>
    </row>
    <row r="69" spans="1:23" ht="19" customHeight="1">
      <c r="A69" s="282"/>
      <c r="B69" s="119"/>
      <c r="C69" s="119"/>
      <c r="D69" s="119"/>
      <c r="E69" s="119"/>
      <c r="F69" s="119"/>
      <c r="G69" s="119"/>
      <c r="H69" s="119"/>
      <c r="I69" s="119"/>
      <c r="J69" s="119"/>
      <c r="K69" s="119"/>
      <c r="L69" s="119"/>
      <c r="M69" s="119"/>
      <c r="N69" s="119"/>
      <c r="O69" s="120"/>
      <c r="P69" s="2"/>
      <c r="Q69" s="2"/>
      <c r="R69" s="2"/>
      <c r="S69" s="2"/>
      <c r="T69" s="2"/>
      <c r="U69" s="2"/>
      <c r="V69" s="169"/>
      <c r="W69" s="2"/>
    </row>
    <row r="70" spans="1:23" ht="23.25" customHeight="1">
      <c r="A70" s="402" t="s">
        <v>220</v>
      </c>
      <c r="B70" s="392"/>
      <c r="C70" s="392"/>
      <c r="D70" s="392"/>
      <c r="E70" s="392"/>
      <c r="F70" s="392"/>
      <c r="G70" s="119"/>
      <c r="H70" s="119"/>
      <c r="I70" s="119"/>
      <c r="J70" s="119"/>
      <c r="K70" s="119"/>
      <c r="L70" s="119"/>
      <c r="M70" s="119"/>
      <c r="N70" s="119"/>
      <c r="O70" s="120"/>
      <c r="P70" s="2"/>
      <c r="Q70" s="2"/>
      <c r="R70" s="2"/>
      <c r="S70" s="2"/>
      <c r="T70" s="2"/>
      <c r="U70" s="2"/>
      <c r="V70" s="2"/>
      <c r="W70" s="2"/>
    </row>
    <row r="71" spans="1:23" ht="73.5" customHeight="1">
      <c r="A71" s="402"/>
      <c r="B71" s="392"/>
      <c r="C71" s="392"/>
      <c r="D71" s="392"/>
      <c r="E71" s="392"/>
      <c r="F71" s="392"/>
      <c r="G71" s="119"/>
      <c r="H71" s="119"/>
      <c r="I71" s="119"/>
      <c r="J71" s="119"/>
      <c r="K71" s="119"/>
      <c r="L71" s="119"/>
      <c r="M71" s="119"/>
      <c r="N71" s="119"/>
      <c r="O71" s="120"/>
    </row>
    <row r="72" spans="1:23" ht="54" customHeight="1">
      <c r="A72" s="403" t="s">
        <v>100</v>
      </c>
      <c r="B72" s="404"/>
      <c r="C72" s="286">
        <f>K42/B24</f>
        <v>12027</v>
      </c>
      <c r="D72" s="106"/>
      <c r="E72" s="119"/>
      <c r="F72" s="119"/>
      <c r="G72" s="119"/>
      <c r="H72" s="119"/>
      <c r="I72" s="119"/>
      <c r="J72" s="119"/>
      <c r="K72" s="119"/>
      <c r="L72" s="119"/>
      <c r="M72" s="119"/>
      <c r="N72" s="119"/>
      <c r="O72" s="120"/>
    </row>
    <row r="73" spans="1:23" ht="21" customHeight="1">
      <c r="A73" s="159"/>
      <c r="B73" s="119"/>
      <c r="C73" s="119"/>
      <c r="D73" s="119"/>
      <c r="E73" s="119"/>
      <c r="F73" s="119"/>
      <c r="G73" s="119"/>
      <c r="H73" s="119"/>
      <c r="I73" s="119"/>
      <c r="J73" s="119"/>
      <c r="K73" s="119"/>
      <c r="L73" s="119"/>
      <c r="M73" s="119"/>
      <c r="N73" s="119"/>
      <c r="O73" s="120"/>
    </row>
    <row r="74" spans="1:23" ht="55" customHeight="1">
      <c r="A74" s="159"/>
      <c r="B74" s="119"/>
      <c r="C74" s="285" t="s">
        <v>208</v>
      </c>
      <c r="D74" s="285" t="s">
        <v>209</v>
      </c>
      <c r="E74" s="397" t="s">
        <v>210</v>
      </c>
      <c r="F74" s="397"/>
      <c r="G74" s="397" t="s">
        <v>211</v>
      </c>
      <c r="H74" s="397"/>
      <c r="I74" s="119"/>
      <c r="J74" s="119"/>
      <c r="K74" s="119"/>
      <c r="L74" s="119"/>
      <c r="M74" s="119"/>
      <c r="N74" s="119"/>
      <c r="O74" s="120"/>
    </row>
    <row r="75" spans="1:23" s="2" customFormat="1" ht="54" customHeight="1">
      <c r="A75" s="419" t="s">
        <v>231</v>
      </c>
      <c r="B75" s="420"/>
      <c r="C75" s="286">
        <f>IF(B22="2021 Riparian",'RFB Benefits - Costs'!E36,IF(B22="2014 Riparian",'RFB Benefits - Costs'!E44,IF(B22="2021 Non-Riparian",'RFB Benefits - Costs'!M36,IF(B22="2014 Non-Riparian",'RFB Benefits - Costs'!M44))))</f>
        <v>27.950953045095304</v>
      </c>
      <c r="D75" s="286">
        <f>IF(B22="2021 Riparian",'RFB Benefits - Costs'!E37,IF(B22="2014 Riparian",'RFB Benefits - Costs'!E45,IF(B22="2021 Non-Riparian",'RFB Benefits - Costs'!M37,IF(B22="2014 Non-Riparian",'RFB Benefits - Costs'!M45))))</f>
        <v>160.32666666666668</v>
      </c>
      <c r="E75" s="398">
        <f>IF(B22="2021 Riparian",'RFB Benefits - Costs'!E38,IF(B22="2014 Riparian",'RFB Benefits - Costs'!E46,IF(B22="2021 Non-Riparian",'RFB Benefits - Costs'!M38,IF(B22="2014 Non-Riparian",'RFB Benefits - Costs'!M46))))</f>
        <v>9.0867528149323654E-2</v>
      </c>
      <c r="F75" s="398"/>
      <c r="G75" s="398">
        <f>'RFB Benefits - Costs'!E39</f>
        <v>616.64102564102564</v>
      </c>
      <c r="H75" s="398"/>
      <c r="I75" s="119"/>
      <c r="J75" s="119"/>
      <c r="K75" s="119"/>
      <c r="L75" s="119"/>
      <c r="M75" s="119"/>
      <c r="N75" s="119"/>
      <c r="O75" s="120"/>
    </row>
    <row r="76" spans="1:23" ht="28" customHeight="1">
      <c r="A76" s="393" t="s">
        <v>232</v>
      </c>
      <c r="B76" s="394"/>
      <c r="C76" s="119"/>
      <c r="D76" s="119"/>
      <c r="E76" s="119"/>
      <c r="F76" s="119"/>
      <c r="G76" s="119"/>
      <c r="H76" s="119"/>
      <c r="I76" s="119"/>
      <c r="J76" s="119"/>
      <c r="K76" s="119"/>
      <c r="L76" s="119"/>
      <c r="M76" s="119"/>
      <c r="N76" s="119"/>
      <c r="O76" s="120"/>
    </row>
    <row r="77" spans="1:23" ht="18" customHeight="1">
      <c r="A77" s="159"/>
      <c r="B77" s="119"/>
      <c r="C77" s="285" t="s">
        <v>284</v>
      </c>
      <c r="D77" s="119"/>
      <c r="E77" s="131"/>
      <c r="F77" s="131"/>
      <c r="G77" s="119"/>
      <c r="H77" s="119"/>
      <c r="I77" s="119"/>
      <c r="J77" s="119"/>
      <c r="K77" s="119"/>
      <c r="L77" s="119"/>
      <c r="M77" s="119"/>
      <c r="N77" s="119"/>
      <c r="O77" s="120"/>
    </row>
    <row r="78" spans="1:23" ht="53.25" customHeight="1">
      <c r="A78" s="403" t="s">
        <v>292</v>
      </c>
      <c r="B78" s="383"/>
      <c r="C78" s="304">
        <f>IF(D22="MIXED OPEN",0,(K42/C60)/B52)</f>
        <v>267.26666666666665</v>
      </c>
      <c r="D78" s="119"/>
      <c r="E78" s="130"/>
      <c r="F78" s="132"/>
      <c r="G78" s="119"/>
      <c r="H78" s="119"/>
      <c r="I78" s="119"/>
      <c r="J78" s="119"/>
      <c r="K78" s="119"/>
      <c r="L78" s="119"/>
      <c r="M78" s="119"/>
      <c r="N78" s="119"/>
      <c r="O78" s="120"/>
    </row>
    <row r="79" spans="1:23" ht="20.25" customHeight="1">
      <c r="A79" s="292" t="s">
        <v>221</v>
      </c>
      <c r="B79" s="119"/>
      <c r="C79" s="119"/>
      <c r="D79" s="119"/>
      <c r="E79" s="119"/>
      <c r="F79" s="119"/>
      <c r="G79" s="119"/>
      <c r="H79" s="119"/>
      <c r="I79" s="119"/>
      <c r="J79" s="138" t="s">
        <v>108</v>
      </c>
      <c r="K79" s="283"/>
      <c r="L79" s="283"/>
      <c r="M79" s="283"/>
      <c r="N79" s="119"/>
      <c r="O79" s="120"/>
    </row>
    <row r="80" spans="1:23" ht="44.25" customHeight="1">
      <c r="A80" s="287"/>
      <c r="B80" s="288"/>
      <c r="C80" s="288"/>
      <c r="D80" s="288"/>
      <c r="E80" s="288"/>
      <c r="F80" s="288"/>
      <c r="G80" s="288"/>
      <c r="H80" s="288"/>
      <c r="I80" s="119"/>
      <c r="J80" s="392" t="s">
        <v>257</v>
      </c>
      <c r="K80" s="392"/>
      <c r="L80" s="392"/>
      <c r="M80" s="392"/>
      <c r="N80" s="392"/>
      <c r="O80" s="120"/>
    </row>
    <row r="81" spans="1:15" ht="20.25" customHeight="1">
      <c r="A81" s="159"/>
      <c r="B81" s="119"/>
      <c r="C81" s="285" t="s">
        <v>248</v>
      </c>
      <c r="D81" s="289"/>
      <c r="E81" s="289"/>
      <c r="F81" s="289"/>
      <c r="G81" s="289"/>
      <c r="H81" s="289"/>
      <c r="I81" s="290"/>
      <c r="J81" s="290"/>
      <c r="K81" s="290"/>
      <c r="L81" s="290"/>
      <c r="M81" s="290"/>
      <c r="N81" s="290"/>
      <c r="O81" s="120"/>
    </row>
    <row r="82" spans="1:15" ht="63.75" customHeight="1">
      <c r="A82" s="419" t="s">
        <v>293</v>
      </c>
      <c r="B82" s="433"/>
      <c r="C82" s="286">
        <f>IF(D22="Mixed Open",0,(K42/C60))</f>
        <v>8018</v>
      </c>
      <c r="D82" s="119"/>
      <c r="E82" s="119"/>
      <c r="F82" s="119"/>
      <c r="G82" s="119"/>
      <c r="H82" s="119"/>
      <c r="I82" s="119"/>
      <c r="J82" s="119"/>
      <c r="K82" s="119"/>
      <c r="L82" s="119"/>
      <c r="M82" s="119"/>
      <c r="N82" s="119"/>
      <c r="O82" s="120"/>
    </row>
    <row r="83" spans="1:15" ht="15" customHeight="1" thickBot="1">
      <c r="A83" s="293"/>
      <c r="B83" s="294"/>
      <c r="C83" s="295"/>
      <c r="D83" s="295"/>
      <c r="E83" s="295"/>
      <c r="F83" s="295"/>
      <c r="G83" s="295"/>
      <c r="H83" s="295"/>
      <c r="I83" s="295"/>
      <c r="J83" s="295"/>
      <c r="K83" s="295"/>
      <c r="L83" s="295"/>
      <c r="M83" s="295"/>
      <c r="N83" s="295"/>
      <c r="O83" s="144"/>
    </row>
  </sheetData>
  <mergeCells count="61">
    <mergeCell ref="A82:B82"/>
    <mergeCell ref="I44:L44"/>
    <mergeCell ref="A1:F1"/>
    <mergeCell ref="I13:J13"/>
    <mergeCell ref="I22:L25"/>
    <mergeCell ref="A2:K2"/>
    <mergeCell ref="A4:C4"/>
    <mergeCell ref="A5:K7"/>
    <mergeCell ref="A17:C17"/>
    <mergeCell ref="I10:K10"/>
    <mergeCell ref="I11:J11"/>
    <mergeCell ref="A18:L18"/>
    <mergeCell ref="I12:J12"/>
    <mergeCell ref="I14:K15"/>
    <mergeCell ref="A25:B25"/>
    <mergeCell ref="I27:I28"/>
    <mergeCell ref="I29:L30"/>
    <mergeCell ref="A75:B75"/>
    <mergeCell ref="I65:J66"/>
    <mergeCell ref="A68:D68"/>
    <mergeCell ref="A62:B62"/>
    <mergeCell ref="I56:M56"/>
    <mergeCell ref="A60:B60"/>
    <mergeCell ref="A61:C61"/>
    <mergeCell ref="D28:D29"/>
    <mergeCell ref="A38:A39"/>
    <mergeCell ref="B38:B39"/>
    <mergeCell ref="C38:C39"/>
    <mergeCell ref="D38:D39"/>
    <mergeCell ref="A55:D55"/>
    <mergeCell ref="A54:B54"/>
    <mergeCell ref="A44:C44"/>
    <mergeCell ref="A41:A42"/>
    <mergeCell ref="B41:B42"/>
    <mergeCell ref="A26:C26"/>
    <mergeCell ref="A36:C36"/>
    <mergeCell ref="A28:A29"/>
    <mergeCell ref="B28:B29"/>
    <mergeCell ref="C28:C29"/>
    <mergeCell ref="A30:D30"/>
    <mergeCell ref="A34:D34"/>
    <mergeCell ref="A53:D53"/>
    <mergeCell ref="J80:N80"/>
    <mergeCell ref="A76:B76"/>
    <mergeCell ref="A56:D58"/>
    <mergeCell ref="G74:H74"/>
    <mergeCell ref="G75:H75"/>
    <mergeCell ref="E74:F74"/>
    <mergeCell ref="E75:F75"/>
    <mergeCell ref="I63:N64"/>
    <mergeCell ref="I60:N60"/>
    <mergeCell ref="A70:F71"/>
    <mergeCell ref="A72:B72"/>
    <mergeCell ref="A78:B78"/>
    <mergeCell ref="I62:J62"/>
    <mergeCell ref="I48:I49"/>
    <mergeCell ref="J48:J49"/>
    <mergeCell ref="K48:K49"/>
    <mergeCell ref="L48:L49"/>
    <mergeCell ref="I58:J58"/>
    <mergeCell ref="I51:L52"/>
  </mergeCells>
  <dataValidations count="1">
    <dataValidation type="list" allowBlank="1" showInputMessage="1" showErrorMessage="1" sqref="B43 B45" xr:uid="{CF037163-018C-4F7D-8CB4-8AEA79F7848A}">
      <formula1>#REF!</formula1>
    </dataValidation>
  </dataValidations>
  <hyperlinks>
    <hyperlink ref="A14" r:id="rId1" display="If you are financing the rest with an MDE loan, go here to enter your interest rate. Do not include the admin fee. " xr:uid="{71D19153-6DAC-BD4B-86AA-8EFBD1F1576F}"/>
    <hyperlink ref="A50" r:id="rId2" display="If you are financing the rest with an MDE loan, go here to enter your interest rate. Do not include the admin fee. " xr:uid="{1946657C-65C4-7F46-B9B6-5E88175E5009}"/>
    <hyperlink ref="C50" r:id="rId3" display="Are you a disadvantaged community, as defined by MDE? (Use the drop-down box)" xr:uid="{7C38FD27-B67B-4687-B485-30FFF2F0C0C5}"/>
  </hyperlinks>
  <pageMargins left="0.7" right="0.7" top="0.75" bottom="0.75" header="0.3" footer="0.3"/>
  <pageSetup scale="34" fitToHeight="3" orientation="landscape" horizontalDpi="300" verticalDpi="300" r:id="rId4"/>
  <rowBreaks count="2" manualBreakCount="2">
    <brk id="16" max="16383" man="1"/>
    <brk id="53" max="16383" man="1"/>
  </rowBreaks>
  <drawing r:id="rId5"/>
  <extLst>
    <ext xmlns:x14="http://schemas.microsoft.com/office/spreadsheetml/2009/9/main" uri="{CCE6A557-97BC-4b89-ADB6-D9C93CAAB3DF}">
      <x14:dataValidations xmlns:xm="http://schemas.microsoft.com/office/excel/2006/main" count="12">
        <x14:dataValidation type="list" showInputMessage="1" showErrorMessage="1" xr:uid="{0A88C655-55B3-9C46-9A4E-62DE0263C86F}">
          <x14:formula1>
            <xm:f>Notes!$A$114:$A$115</xm:f>
          </x14:formula1>
          <xm:sqref>B51</xm:sqref>
        </x14:dataValidation>
        <x14:dataValidation type="list" allowBlank="1" showInputMessage="1" showErrorMessage="1" xr:uid="{BE0F5DFD-E616-449F-99B5-2C27C3DC3488}">
          <x14:formula1>
            <xm:f>'MD IPPS'!$B$25:$B$29</xm:f>
          </x14:formula1>
          <xm:sqref>D22</xm:sqref>
        </x14:dataValidation>
        <x14:dataValidation type="list" allowBlank="1" showInputMessage="1" showErrorMessage="1" xr:uid="{860D41D0-A17C-5B4F-A9C6-33E9C7B608E7}">
          <x14:formula1>
            <xm:f>Notes!$A$34:$A$37</xm:f>
          </x14:formula1>
          <xm:sqref>B10 B22</xm:sqref>
        </x14:dataValidation>
        <x14:dataValidation type="list" allowBlank="1" showInputMessage="1" showErrorMessage="1" xr:uid="{09667118-D9A5-7744-8701-28646003AAE5}">
          <x14:formula1>
            <xm:f>Notes!$A$51:$A$52</xm:f>
          </x14:formula1>
          <xm:sqref>B31</xm:sqref>
        </x14:dataValidation>
        <x14:dataValidation type="list" allowBlank="1" showInputMessage="1" showErrorMessage="1" xr:uid="{9226E25E-FF72-7444-BAF4-31C4075F5C2C}">
          <x14:formula1>
            <xm:f>Notes!$A$55:$A$56</xm:f>
          </x14:formula1>
          <xm:sqref>B33</xm:sqref>
        </x14:dataValidation>
        <x14:dataValidation type="list" allowBlank="1" showInputMessage="1" showErrorMessage="1" xr:uid="{F3E9FE3D-9576-C44A-9C38-AFBCF90B8A7B}">
          <x14:formula1>
            <xm:f>Notes!$A$40:$A$47</xm:f>
          </x14:formula1>
          <xm:sqref>D26</xm:sqref>
        </x14:dataValidation>
        <x14:dataValidation type="list" allowBlank="1" showInputMessage="1" showErrorMessage="1" xr:uid="{1A0F04E4-9599-464D-BD0A-145D5D94B75D}">
          <x14:formula1>
            <xm:f>Notes!$A$59:$A$67</xm:f>
          </x14:formula1>
          <xm:sqref>D36</xm:sqref>
        </x14:dataValidation>
        <x14:dataValidation type="list" allowBlank="1" showInputMessage="1" showErrorMessage="1" xr:uid="{4B8EB840-44F4-8B4E-9BEC-0B599D80EBA8}">
          <x14:formula1>
            <xm:f>Notes!$A$70:$A$78</xm:f>
          </x14:formula1>
          <xm:sqref>B38:B39</xm:sqref>
        </x14:dataValidation>
        <x14:dataValidation type="list" allowBlank="1" showInputMessage="1" showErrorMessage="1" xr:uid="{8918D338-76AC-7344-B004-814BFA3350FF}">
          <x14:formula1>
            <xm:f>Notes!$A$81:$A$87</xm:f>
          </x14:formula1>
          <xm:sqref>D38:D39</xm:sqref>
        </x14:dataValidation>
        <x14:dataValidation type="list" allowBlank="1" showInputMessage="1" showErrorMessage="1" xr:uid="{49CE5276-F498-D947-AE47-09E9093712DF}">
          <x14:formula1>
            <xm:f>Notes!$A$90:$A$96</xm:f>
          </x14:formula1>
          <xm:sqref>B41:B42</xm:sqref>
        </x14:dataValidation>
        <x14:dataValidation type="list" allowBlank="1" showInputMessage="1" showErrorMessage="1" xr:uid="{74957934-33E9-BD48-B90F-0A1659D16272}">
          <x14:formula1>
            <xm:f>Notes!$A$114:$A$115</xm:f>
          </x14:formula1>
          <xm:sqref>D50</xm:sqref>
        </x14:dataValidation>
        <x14:dataValidation type="list" allowBlank="1" showInputMessage="1" showErrorMessage="1" xr:uid="{21DC048E-1300-B04E-853A-D59A91C5E33C}">
          <x14:formula1>
            <xm:f>Notes!$A$106:$A$111</xm:f>
          </x14:formula1>
          <xm:sqref>B52 B15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76509-D852-5445-9D27-DFF72EA5FD39}">
  <dimension ref="A1:P50"/>
  <sheetViews>
    <sheetView workbookViewId="0"/>
  </sheetViews>
  <sheetFormatPr defaultColWidth="8.81640625" defaultRowHeight="14.5"/>
  <cols>
    <col min="1" max="1" width="23.36328125" customWidth="1"/>
    <col min="2" max="5" width="17.453125" customWidth="1"/>
    <col min="6" max="6" width="20.6328125" customWidth="1"/>
    <col min="7" max="7" width="18" customWidth="1"/>
    <col min="8" max="8" width="14.6328125" customWidth="1"/>
    <col min="9" max="9" width="24.36328125" customWidth="1"/>
    <col min="10" max="10" width="22.1796875" customWidth="1"/>
    <col min="11" max="13" width="17.36328125" customWidth="1"/>
    <col min="14" max="14" width="18.1796875" customWidth="1"/>
    <col min="15" max="15" width="18.453125" bestFit="1" customWidth="1"/>
  </cols>
  <sheetData>
    <row r="1" spans="1:16" ht="23.5">
      <c r="A1" s="60" t="s">
        <v>57</v>
      </c>
      <c r="B1" s="61"/>
      <c r="C1" s="62"/>
      <c r="D1" s="62"/>
      <c r="E1" s="62"/>
      <c r="F1" s="62"/>
      <c r="G1" s="63"/>
      <c r="H1" s="372"/>
      <c r="I1" s="85" t="s">
        <v>58</v>
      </c>
      <c r="J1" s="61"/>
      <c r="K1" s="62"/>
      <c r="L1" s="62"/>
      <c r="M1" s="62"/>
      <c r="N1" s="62"/>
      <c r="O1" s="63"/>
    </row>
    <row r="2" spans="1:16">
      <c r="A2" s="64"/>
      <c r="G2" s="65"/>
      <c r="H2" s="64"/>
      <c r="I2" s="55"/>
      <c r="O2" s="65"/>
    </row>
    <row r="3" spans="1:16" ht="30" customHeight="1">
      <c r="A3" s="66" t="s">
        <v>48</v>
      </c>
      <c r="B3" s="51" t="s">
        <v>36</v>
      </c>
      <c r="C3" s="50" t="s">
        <v>37</v>
      </c>
      <c r="D3" s="361"/>
      <c r="E3" s="306" t="s">
        <v>50</v>
      </c>
      <c r="F3" s="308" t="s">
        <v>287</v>
      </c>
      <c r="G3" s="308" t="s">
        <v>288</v>
      </c>
      <c r="H3" s="56"/>
      <c r="I3" s="50" t="s">
        <v>35</v>
      </c>
      <c r="J3" s="51" t="s">
        <v>36</v>
      </c>
      <c r="K3" s="50" t="s">
        <v>37</v>
      </c>
      <c r="L3" s="361"/>
      <c r="M3" s="305" t="s">
        <v>50</v>
      </c>
      <c r="N3" s="308" t="s">
        <v>287</v>
      </c>
      <c r="O3" s="308" t="s">
        <v>288</v>
      </c>
    </row>
    <row r="4" spans="1:16">
      <c r="A4" s="67">
        <f>'User Interface'!B24</f>
        <v>50</v>
      </c>
      <c r="B4" s="49">
        <f>'User Interface'!D28/'User Interface'!B24</f>
        <v>1</v>
      </c>
      <c r="C4" s="49">
        <f>'User Interface'!B28/'User Interface'!B24</f>
        <v>0</v>
      </c>
      <c r="D4" s="78"/>
      <c r="E4" s="371" t="s">
        <v>239</v>
      </c>
      <c r="F4" s="307">
        <f>(SUM(B5*1.5)+(C5*0.5))</f>
        <v>75</v>
      </c>
      <c r="G4" s="373" t="str">
        <f>"N/A"</f>
        <v>N/A</v>
      </c>
      <c r="H4" s="56"/>
      <c r="I4" s="1">
        <f>'User Interface'!B24</f>
        <v>50</v>
      </c>
      <c r="J4" s="49">
        <f>'User Interface'!D28/'User Interface'!B24</f>
        <v>1</v>
      </c>
      <c r="K4" s="49">
        <f>'User Interface'!B28/'User Interface'!B24</f>
        <v>0</v>
      </c>
      <c r="L4" s="78"/>
      <c r="M4" s="370" t="s">
        <v>239</v>
      </c>
      <c r="N4" s="95">
        <f>SUM(J5*1.1)+(K5*0.37)</f>
        <v>55.000000000000007</v>
      </c>
      <c r="O4" s="374" t="str">
        <f>"N/A"</f>
        <v>N/A</v>
      </c>
    </row>
    <row r="5" spans="1:16" ht="29">
      <c r="A5" s="68" t="s">
        <v>49</v>
      </c>
      <c r="B5" s="94">
        <f>(B4/(B4+C4))*A4</f>
        <v>50</v>
      </c>
      <c r="C5" s="94">
        <f>(C4/(B4+C4))*A4</f>
        <v>0</v>
      </c>
      <c r="D5" s="82"/>
      <c r="E5" s="53" t="s">
        <v>64</v>
      </c>
      <c r="F5" s="307">
        <f>B5*'RFB MS4 Credits'!C5</f>
        <v>19</v>
      </c>
      <c r="G5" s="373" t="str">
        <f>"N/A"</f>
        <v>N/A</v>
      </c>
      <c r="H5" s="56"/>
      <c r="I5" s="53" t="s">
        <v>38</v>
      </c>
      <c r="J5" s="94">
        <f>(J4/(J4+K4))*I4</f>
        <v>50</v>
      </c>
      <c r="K5" s="94">
        <f>(K4/(J4+K4))*I4</f>
        <v>0</v>
      </c>
      <c r="L5" s="82"/>
      <c r="M5" s="370" t="s">
        <v>64</v>
      </c>
      <c r="N5" s="95">
        <f>J5*'RFB MS4 Credits'!C5</f>
        <v>19</v>
      </c>
      <c r="O5" s="374" t="str">
        <f>"N/A"</f>
        <v>N/A</v>
      </c>
    </row>
    <row r="6" spans="1:16">
      <c r="A6" s="87"/>
      <c r="G6" s="65"/>
      <c r="H6" s="64"/>
      <c r="I6" s="86"/>
      <c r="O6" s="65"/>
    </row>
    <row r="7" spans="1:16">
      <c r="A7" s="64"/>
      <c r="G7" s="65"/>
      <c r="H7" s="64"/>
      <c r="I7" s="55"/>
      <c r="O7" s="65"/>
    </row>
    <row r="8" spans="1:16">
      <c r="A8" s="369" t="s">
        <v>240</v>
      </c>
      <c r="B8" s="368"/>
      <c r="C8" s="368"/>
      <c r="D8" s="470" t="s">
        <v>241</v>
      </c>
      <c r="E8" s="471"/>
      <c r="F8" s="471"/>
      <c r="G8" s="65"/>
      <c r="H8" s="360"/>
      <c r="I8" s="369" t="s">
        <v>240</v>
      </c>
      <c r="J8" s="368"/>
      <c r="K8" s="368"/>
      <c r="L8" s="470" t="s">
        <v>241</v>
      </c>
      <c r="M8" s="471"/>
      <c r="N8" s="471"/>
      <c r="O8" s="65"/>
      <c r="P8" s="56"/>
    </row>
    <row r="9" spans="1:16">
      <c r="A9" s="67" t="s">
        <v>194</v>
      </c>
      <c r="B9" s="1" t="s">
        <v>195</v>
      </c>
      <c r="C9" s="1" t="s">
        <v>196</v>
      </c>
      <c r="D9" s="1" t="s">
        <v>194</v>
      </c>
      <c r="E9" s="1" t="s">
        <v>195</v>
      </c>
      <c r="F9" s="1" t="s">
        <v>196</v>
      </c>
      <c r="G9" s="65"/>
      <c r="H9" s="360"/>
      <c r="I9" s="67" t="s">
        <v>194</v>
      </c>
      <c r="J9" s="1" t="s">
        <v>195</v>
      </c>
      <c r="K9" s="1" t="s">
        <v>196</v>
      </c>
      <c r="L9" s="1" t="s">
        <v>194</v>
      </c>
      <c r="M9" s="1" t="s">
        <v>195</v>
      </c>
      <c r="N9" s="1" t="s">
        <v>196</v>
      </c>
      <c r="O9" s="65"/>
    </row>
    <row r="10" spans="1:16">
      <c r="A10" s="69">
        <f>IF('User Interface'!D22="Crop",35.84,IF('User Interface'!D22="Pasture",24.53,IF('User Interface'!D22="Hay",22.05,IF('User Interface'!D22="Turf",14.34,IF('User Interface'!D22="Mixed Open",9.1)))))</f>
        <v>14.34</v>
      </c>
      <c r="B10" s="1">
        <v>2.5</v>
      </c>
      <c r="C10" s="59">
        <v>4411</v>
      </c>
      <c r="D10" s="58">
        <v>6.22</v>
      </c>
      <c r="E10" s="1">
        <v>0.44</v>
      </c>
      <c r="F10" s="59">
        <v>800</v>
      </c>
      <c r="G10" s="65"/>
      <c r="H10" s="360"/>
      <c r="I10" s="69">
        <f>IF('User Interface'!D22="Crop",32.62,IF('User Interface'!D22="Pasture",21.31,IF('User Interface'!D22="Hay",18.83,IF('User Interface'!D22="Turf",11.12,IF('User Interface'!D22="Mixed Open",5.88)))))</f>
        <v>11.12</v>
      </c>
      <c r="J10" s="1">
        <v>1.78</v>
      </c>
      <c r="K10" s="59">
        <v>2805</v>
      </c>
      <c r="L10" s="58">
        <v>6.22</v>
      </c>
      <c r="M10" s="1">
        <v>0.44</v>
      </c>
      <c r="N10" s="59">
        <v>800</v>
      </c>
      <c r="O10" s="65"/>
    </row>
    <row r="11" spans="1:16">
      <c r="A11" s="472" t="s">
        <v>197</v>
      </c>
      <c r="B11" s="473"/>
      <c r="C11" s="474"/>
      <c r="D11" s="475" t="s">
        <v>197</v>
      </c>
      <c r="E11" s="473"/>
      <c r="F11" s="474"/>
      <c r="G11" s="65"/>
      <c r="H11" s="360"/>
      <c r="I11" s="472" t="s">
        <v>197</v>
      </c>
      <c r="J11" s="473"/>
      <c r="K11" s="474"/>
      <c r="L11" s="475" t="s">
        <v>197</v>
      </c>
      <c r="M11" s="473"/>
      <c r="N11" s="474"/>
      <c r="O11" s="65"/>
    </row>
    <row r="12" spans="1:16">
      <c r="A12" s="97">
        <f>A10*B5</f>
        <v>717</v>
      </c>
      <c r="B12" s="98">
        <f>B10*B5</f>
        <v>125</v>
      </c>
      <c r="C12" s="98">
        <f>C10*B5</f>
        <v>220550</v>
      </c>
      <c r="D12" s="98">
        <f>D10*B5</f>
        <v>311</v>
      </c>
      <c r="E12" s="98">
        <f>E10*B5</f>
        <v>22</v>
      </c>
      <c r="F12" s="98">
        <f>F10*B5</f>
        <v>40000</v>
      </c>
      <c r="G12" s="65"/>
      <c r="H12" s="360"/>
      <c r="I12" s="98">
        <f>I10*J5</f>
        <v>556</v>
      </c>
      <c r="J12" s="98">
        <f>J10*J5</f>
        <v>89</v>
      </c>
      <c r="K12" s="98">
        <f>K10*J5</f>
        <v>140250</v>
      </c>
      <c r="L12" s="98">
        <f>L10*J5</f>
        <v>311</v>
      </c>
      <c r="M12" s="98">
        <f>M10*J5</f>
        <v>22</v>
      </c>
      <c r="N12" s="98">
        <f>N10*J5</f>
        <v>40000</v>
      </c>
      <c r="O12" s="65"/>
    </row>
    <row r="13" spans="1:16">
      <c r="A13" s="476"/>
      <c r="B13" s="469"/>
      <c r="C13" s="469"/>
      <c r="D13" s="469"/>
      <c r="E13" s="469"/>
      <c r="G13" s="65"/>
      <c r="H13" s="64"/>
      <c r="I13" s="468" t="s">
        <v>46</v>
      </c>
      <c r="J13" s="469"/>
      <c r="K13" s="469"/>
      <c r="L13" s="353"/>
      <c r="M13" s="353"/>
      <c r="O13" s="65"/>
    </row>
    <row r="14" spans="1:16">
      <c r="A14" s="64"/>
      <c r="G14" s="65"/>
      <c r="H14" s="64"/>
      <c r="I14" s="55"/>
      <c r="O14" s="65"/>
    </row>
    <row r="15" spans="1:16" ht="34.5" customHeight="1">
      <c r="A15" s="479" t="s">
        <v>61</v>
      </c>
      <c r="B15" s="480"/>
      <c r="D15" s="367"/>
      <c r="E15" s="366"/>
      <c r="F15" s="366"/>
      <c r="G15" s="65"/>
      <c r="H15" s="64"/>
      <c r="I15" s="481" t="s">
        <v>61</v>
      </c>
      <c r="J15" s="482"/>
      <c r="K15" s="18"/>
      <c r="L15" s="365"/>
      <c r="M15" s="364"/>
      <c r="N15" s="364"/>
      <c r="O15" s="65"/>
    </row>
    <row r="16" spans="1:16">
      <c r="A16" s="1" t="s">
        <v>194</v>
      </c>
      <c r="B16" s="1" t="s">
        <v>195</v>
      </c>
      <c r="G16" s="65"/>
      <c r="H16" s="360"/>
      <c r="I16" s="1" t="s">
        <v>194</v>
      </c>
      <c r="J16" s="1" t="s">
        <v>195</v>
      </c>
      <c r="O16" s="65"/>
    </row>
    <row r="17" spans="1:15">
      <c r="A17" s="352">
        <v>6.75</v>
      </c>
      <c r="B17" s="352">
        <v>0.74</v>
      </c>
      <c r="G17" s="65"/>
      <c r="H17" s="360"/>
      <c r="I17" s="352">
        <v>5.24</v>
      </c>
      <c r="J17" s="99">
        <v>0.53</v>
      </c>
      <c r="O17" s="65"/>
    </row>
    <row r="18" spans="1:15" ht="26.25" customHeight="1">
      <c r="A18" s="483" t="s">
        <v>198</v>
      </c>
      <c r="B18" s="484"/>
      <c r="G18" s="65"/>
      <c r="H18" s="64"/>
      <c r="I18" s="483" t="s">
        <v>198</v>
      </c>
      <c r="J18" s="484"/>
      <c r="O18" s="65"/>
    </row>
    <row r="19" spans="1:15">
      <c r="A19" s="98">
        <f>A17*C5</f>
        <v>0</v>
      </c>
      <c r="B19" s="96">
        <f>B17*C5</f>
        <v>0</v>
      </c>
      <c r="G19" s="65"/>
      <c r="H19" s="360"/>
      <c r="I19" s="98">
        <f>I17*K5</f>
        <v>0</v>
      </c>
      <c r="J19" s="100">
        <f>J17*K5</f>
        <v>0</v>
      </c>
      <c r="L19" s="82"/>
      <c r="M19" s="82"/>
      <c r="O19" s="65"/>
    </row>
    <row r="20" spans="1:15">
      <c r="A20" s="363"/>
      <c r="B20" s="124"/>
      <c r="C20" s="18"/>
      <c r="D20" s="353"/>
      <c r="E20" s="353"/>
      <c r="F20" s="353"/>
      <c r="G20" s="65"/>
      <c r="H20" s="64"/>
      <c r="I20" s="101"/>
      <c r="J20" s="363"/>
      <c r="K20" s="18"/>
      <c r="L20" s="82"/>
      <c r="M20" s="82"/>
      <c r="N20" s="18"/>
      <c r="O20" s="65"/>
    </row>
    <row r="21" spans="1:15" ht="26.25" customHeight="1">
      <c r="A21" s="477" t="s">
        <v>243</v>
      </c>
      <c r="B21" s="478"/>
      <c r="C21" s="18"/>
      <c r="D21" s="477" t="s">
        <v>244</v>
      </c>
      <c r="E21" s="478"/>
      <c r="F21" s="353"/>
      <c r="G21" s="65"/>
      <c r="H21" s="64"/>
      <c r="I21" s="477" t="s">
        <v>243</v>
      </c>
      <c r="J21" s="478"/>
      <c r="K21" s="18"/>
      <c r="L21" s="477" t="s">
        <v>244</v>
      </c>
      <c r="M21" s="478"/>
      <c r="N21" s="18"/>
      <c r="O21" s="65"/>
    </row>
    <row r="22" spans="1:15">
      <c r="A22" s="307" t="s">
        <v>78</v>
      </c>
      <c r="B22" s="307">
        <f>SUM(A12,A19)</f>
        <v>717</v>
      </c>
      <c r="C22" s="18"/>
      <c r="D22" s="307" t="s">
        <v>78</v>
      </c>
      <c r="E22" s="307">
        <f>SUM(D12,A19)</f>
        <v>311</v>
      </c>
      <c r="F22" s="353"/>
      <c r="G22" s="65"/>
      <c r="H22" s="64"/>
      <c r="I22" s="307" t="s">
        <v>78</v>
      </c>
      <c r="J22" s="307">
        <f>SUM(I12,I19)</f>
        <v>556</v>
      </c>
      <c r="K22" s="18"/>
      <c r="L22" s="307" t="s">
        <v>78</v>
      </c>
      <c r="M22" s="307">
        <f>SUM(L12,I19)</f>
        <v>311</v>
      </c>
      <c r="N22" s="18"/>
      <c r="O22" s="65"/>
    </row>
    <row r="23" spans="1:15">
      <c r="A23" s="307" t="s">
        <v>79</v>
      </c>
      <c r="B23" s="307">
        <f>SUM(B12,B19)</f>
        <v>125</v>
      </c>
      <c r="D23" s="307" t="s">
        <v>79</v>
      </c>
      <c r="E23" s="307">
        <f>SUM(E12,B19)</f>
        <v>22</v>
      </c>
      <c r="G23" s="65"/>
      <c r="H23" s="64"/>
      <c r="I23" s="307" t="s">
        <v>79</v>
      </c>
      <c r="J23" s="307">
        <f>SUM(J12,J19)</f>
        <v>89</v>
      </c>
      <c r="L23" s="307" t="s">
        <v>79</v>
      </c>
      <c r="M23" s="307">
        <f>SUM(M12,J19)</f>
        <v>22</v>
      </c>
      <c r="O23" s="65"/>
    </row>
    <row r="24" spans="1:15">
      <c r="A24" s="361"/>
      <c r="D24" s="361"/>
      <c r="G24" s="65"/>
      <c r="H24" s="64"/>
      <c r="I24" s="57"/>
      <c r="O24" s="65"/>
    </row>
    <row r="25" spans="1:15">
      <c r="A25" s="64"/>
      <c r="E25" s="82"/>
      <c r="G25" s="65"/>
      <c r="H25" s="64"/>
      <c r="I25" s="55"/>
      <c r="O25" s="65"/>
    </row>
    <row r="26" spans="1:15">
      <c r="A26" s="70" t="s">
        <v>39</v>
      </c>
      <c r="B26" s="1"/>
      <c r="C26" s="1"/>
      <c r="E26" s="82"/>
      <c r="G26" s="65"/>
      <c r="H26" s="360"/>
      <c r="I26" s="37" t="s">
        <v>39</v>
      </c>
      <c r="J26" s="1"/>
      <c r="K26" s="1"/>
      <c r="O26" s="65"/>
    </row>
    <row r="27" spans="1:15" ht="43.5">
      <c r="A27" s="73" t="s">
        <v>83</v>
      </c>
      <c r="B27" s="52" t="s">
        <v>28</v>
      </c>
      <c r="C27" s="52" t="s">
        <v>29</v>
      </c>
      <c r="D27" s="361"/>
      <c r="E27" s="361"/>
      <c r="F27" s="361"/>
      <c r="G27" s="362"/>
      <c r="H27" s="360"/>
      <c r="I27" s="52" t="s">
        <v>83</v>
      </c>
      <c r="J27" s="52" t="s">
        <v>28</v>
      </c>
      <c r="K27" s="52" t="s">
        <v>29</v>
      </c>
      <c r="L27" s="361"/>
      <c r="M27" s="361"/>
      <c r="O27" s="65"/>
    </row>
    <row r="28" spans="1:15">
      <c r="A28" s="103">
        <f>'User Interface'!D28*'User Interface'!D24</f>
        <v>5000</v>
      </c>
      <c r="B28" s="104">
        <f>A28*13</f>
        <v>65000</v>
      </c>
      <c r="C28" s="104">
        <f>A28*48</f>
        <v>240000</v>
      </c>
      <c r="G28" s="65"/>
      <c r="H28" s="360"/>
      <c r="I28" s="259">
        <f>'User Interface'!D28*350</f>
        <v>17500</v>
      </c>
      <c r="J28" s="104">
        <f>I28*13</f>
        <v>227500</v>
      </c>
      <c r="K28" s="104">
        <f>I28*48</f>
        <v>840000</v>
      </c>
      <c r="O28" s="65"/>
    </row>
    <row r="29" spans="1:15">
      <c r="A29" s="261" t="s">
        <v>30</v>
      </c>
      <c r="B29" s="104">
        <f>B28/2000</f>
        <v>32.5</v>
      </c>
      <c r="C29" s="104">
        <f>C28/2000</f>
        <v>120</v>
      </c>
      <c r="G29" s="65"/>
      <c r="H29" s="360"/>
      <c r="I29" s="254" t="s">
        <v>30</v>
      </c>
      <c r="J29" s="104">
        <f>J28/2000</f>
        <v>113.75</v>
      </c>
      <c r="K29" s="104">
        <f>K28/2000</f>
        <v>420</v>
      </c>
      <c r="O29" s="65"/>
    </row>
    <row r="30" spans="1:15">
      <c r="A30" s="262" t="s">
        <v>27</v>
      </c>
      <c r="B30" s="256">
        <f>(B28/2000)*3</f>
        <v>97.5</v>
      </c>
      <c r="C30" s="257">
        <f>(C28/2000)*3</f>
        <v>360</v>
      </c>
      <c r="D30" s="79"/>
      <c r="E30" s="79"/>
      <c r="G30" s="65"/>
      <c r="H30" s="360"/>
      <c r="I30" s="260" t="s">
        <v>27</v>
      </c>
      <c r="J30" s="256">
        <f>(J28/2000)*3</f>
        <v>341.25</v>
      </c>
      <c r="K30" s="257">
        <f>(K28/2000)*3</f>
        <v>1260</v>
      </c>
      <c r="L30" s="79"/>
      <c r="M30" s="79"/>
      <c r="O30" s="65"/>
    </row>
    <row r="31" spans="1:15">
      <c r="A31" s="64"/>
      <c r="G31" s="65"/>
      <c r="H31" s="64"/>
      <c r="I31" s="55"/>
      <c r="O31" s="65"/>
    </row>
    <row r="32" spans="1:15">
      <c r="A32" s="255" t="s">
        <v>202</v>
      </c>
      <c r="B32" s="258">
        <v>30</v>
      </c>
      <c r="G32" s="65"/>
      <c r="H32" s="64"/>
      <c r="I32" s="255" t="s">
        <v>202</v>
      </c>
      <c r="J32" s="258">
        <v>30</v>
      </c>
      <c r="O32" s="65"/>
    </row>
    <row r="33" spans="1:15">
      <c r="A33" s="64"/>
      <c r="G33" s="65"/>
      <c r="H33" s="64"/>
      <c r="I33" s="55"/>
      <c r="O33" s="65"/>
    </row>
    <row r="34" spans="1:15">
      <c r="A34" s="70" t="s">
        <v>242</v>
      </c>
      <c r="B34" s="1"/>
      <c r="C34" s="1"/>
      <c r="D34" s="1"/>
      <c r="E34" s="1"/>
      <c r="G34" s="65"/>
      <c r="H34" s="64"/>
      <c r="I34" s="70" t="s">
        <v>242</v>
      </c>
      <c r="J34" s="1"/>
      <c r="K34" s="1"/>
      <c r="L34" s="1"/>
      <c r="M34" s="1"/>
      <c r="O34" s="65"/>
    </row>
    <row r="35" spans="1:15">
      <c r="A35" s="70" t="s">
        <v>34</v>
      </c>
      <c r="B35" s="39">
        <f>'User Interface'!J42</f>
        <v>451012.5</v>
      </c>
      <c r="C35" s="47">
        <f>'User Interface'!K42</f>
        <v>601350</v>
      </c>
      <c r="D35" s="47">
        <f>'User Interface'!L42</f>
        <v>751312.5</v>
      </c>
      <c r="E35" s="40" t="s">
        <v>31</v>
      </c>
      <c r="G35" s="65"/>
      <c r="H35" s="64"/>
      <c r="I35" s="37" t="s">
        <v>34</v>
      </c>
      <c r="J35" s="39">
        <f>'User Interface'!J42</f>
        <v>451012.5</v>
      </c>
      <c r="K35" s="47">
        <f>'User Interface'!K42</f>
        <v>601350</v>
      </c>
      <c r="L35" s="47">
        <f>'User Interface'!L42</f>
        <v>751312.5</v>
      </c>
      <c r="M35" s="40" t="s">
        <v>31</v>
      </c>
      <c r="O35" s="65"/>
    </row>
    <row r="36" spans="1:15" ht="42.75" customHeight="1">
      <c r="A36" s="67" t="s">
        <v>203</v>
      </c>
      <c r="B36" s="38">
        <f>(B35/B32)/B22</f>
        <v>20.967573221757323</v>
      </c>
      <c r="C36" s="38">
        <f>((C35/B32)/B22)</f>
        <v>27.956764295676429</v>
      </c>
      <c r="D36" s="38">
        <f>((D35/B32)/B22)</f>
        <v>34.928521617852162</v>
      </c>
      <c r="E36" s="41">
        <f>AVERAGE(B36:D36)</f>
        <v>27.950953045095304</v>
      </c>
      <c r="F36" s="359"/>
      <c r="G36" s="72"/>
      <c r="H36" s="354"/>
      <c r="I36" s="67" t="s">
        <v>203</v>
      </c>
      <c r="J36" s="38">
        <f>((J35/J32)/J22)</f>
        <v>27.039118705035971</v>
      </c>
      <c r="K36" s="38">
        <f>((K35/J32)/J22)</f>
        <v>36.052158273381295</v>
      </c>
      <c r="L36" s="38">
        <f>((L35/J32)/J22)</f>
        <v>45.042715827338128</v>
      </c>
      <c r="M36" s="41">
        <f>AVERAGE(J36:L36)</f>
        <v>36.04466426858513</v>
      </c>
      <c r="O36" s="65"/>
    </row>
    <row r="37" spans="1:15">
      <c r="A37" s="67" t="s">
        <v>204</v>
      </c>
      <c r="B37" s="38">
        <f>((B35/B32)/B23)</f>
        <v>120.27</v>
      </c>
      <c r="C37" s="48">
        <f>((C35/B32)/B23)</f>
        <v>160.36000000000001</v>
      </c>
      <c r="D37" s="48">
        <f>((D35/B32)/B23)</f>
        <v>200.35</v>
      </c>
      <c r="E37" s="41">
        <f>AVERAGE(B37:D37)</f>
        <v>160.32666666666668</v>
      </c>
      <c r="F37" s="359"/>
      <c r="G37" s="65"/>
      <c r="H37" s="64"/>
      <c r="I37" s="67" t="s">
        <v>204</v>
      </c>
      <c r="J37" s="38">
        <f>((J35/J32)/J23)</f>
        <v>168.91853932584269</v>
      </c>
      <c r="K37" s="48">
        <f>((K35/J32)/J23)</f>
        <v>225.22471910112358</v>
      </c>
      <c r="L37" s="48">
        <f>((L35/J32)/J23)</f>
        <v>281.39044943820227</v>
      </c>
      <c r="M37" s="41">
        <f>AVERAGE(J37:L37)</f>
        <v>225.17790262172284</v>
      </c>
      <c r="O37" s="65"/>
    </row>
    <row r="38" spans="1:15" ht="15" customHeight="1">
      <c r="A38" s="67" t="s">
        <v>205</v>
      </c>
      <c r="B38" s="38">
        <f>((B35/B32)/C12)</f>
        <v>6.8164815234640672E-2</v>
      </c>
      <c r="C38" s="48">
        <f>((C35/B32)/C12)</f>
        <v>9.0886420312854224E-2</v>
      </c>
      <c r="D38" s="48">
        <f>((D35/B32)/C12)</f>
        <v>0.11355134890047608</v>
      </c>
      <c r="E38" s="41">
        <f>AVERAGE(B38:D38)</f>
        <v>9.0867528149323654E-2</v>
      </c>
      <c r="F38" s="359"/>
      <c r="G38" s="65"/>
      <c r="H38" s="64"/>
      <c r="I38" s="67" t="s">
        <v>205</v>
      </c>
      <c r="J38" s="38">
        <f>((J35/J32)/K12)</f>
        <v>0.10719251336898396</v>
      </c>
      <c r="K38" s="48">
        <f>((K35/J32)/K12)</f>
        <v>0.14292335115864527</v>
      </c>
      <c r="L38" s="48">
        <f>((L35/J32)/K12)</f>
        <v>0.17856506238859179</v>
      </c>
      <c r="M38" s="41">
        <f>AVERAGE(J38:L38)</f>
        <v>0.14289364230540702</v>
      </c>
      <c r="O38" s="65"/>
    </row>
    <row r="39" spans="1:15">
      <c r="A39" s="67" t="s">
        <v>206</v>
      </c>
      <c r="B39" s="38">
        <f>((B35/B32)/B29)</f>
        <v>462.57692307692309</v>
      </c>
      <c r="C39" s="48">
        <f>((C35/B32)/B29)</f>
        <v>616.76923076923072</v>
      </c>
      <c r="D39" s="48">
        <f>((D35/B32)/B29)</f>
        <v>770.57692307692309</v>
      </c>
      <c r="E39" s="41">
        <f>AVERAGE(B39:D39)</f>
        <v>616.64102564102564</v>
      </c>
      <c r="F39" s="359"/>
      <c r="G39" s="65"/>
      <c r="H39" s="64"/>
      <c r="I39" s="67" t="s">
        <v>206</v>
      </c>
      <c r="J39" s="38">
        <f>((J35/J32)/J29)</f>
        <v>132.16483516483515</v>
      </c>
      <c r="K39" s="48">
        <f>((K35/J32)/J29)</f>
        <v>176.21978021978023</v>
      </c>
      <c r="L39" s="48">
        <f>((L35/J32)/J29)</f>
        <v>220.16483516483515</v>
      </c>
      <c r="M39" s="41">
        <f>AVERAGE(J39:L39)</f>
        <v>176.18315018315016</v>
      </c>
      <c r="O39" s="65"/>
    </row>
    <row r="40" spans="1:15">
      <c r="A40" s="67" t="s">
        <v>207</v>
      </c>
      <c r="B40" s="38">
        <f>((B35/B32)/C29)</f>
        <v>125.28125</v>
      </c>
      <c r="C40" s="48">
        <f>((C35/B32)/C29)</f>
        <v>167.04166666666666</v>
      </c>
      <c r="D40" s="48">
        <f>((D35/B32)/C29)</f>
        <v>208.69791666666666</v>
      </c>
      <c r="E40" s="41">
        <f>AVERAGE(B40:D40)</f>
        <v>167.00694444444443</v>
      </c>
      <c r="F40" s="359"/>
      <c r="G40" s="65"/>
      <c r="H40" s="64"/>
      <c r="I40" s="67" t="s">
        <v>207</v>
      </c>
      <c r="J40" s="38">
        <f>((J35/J32)/K29)</f>
        <v>35.794642857142854</v>
      </c>
      <c r="K40" s="48">
        <f>((K35/J32)/K29)</f>
        <v>47.726190476190474</v>
      </c>
      <c r="L40" s="48">
        <f>((L35/J32)/K29)</f>
        <v>59.62797619047619</v>
      </c>
      <c r="M40" s="41">
        <f>AVERAGE(J40:L40)</f>
        <v>47.716269841269842</v>
      </c>
      <c r="O40" s="65"/>
    </row>
    <row r="41" spans="1:15">
      <c r="A41" s="64"/>
      <c r="G41" s="65"/>
      <c r="H41" s="64"/>
      <c r="I41" s="64"/>
      <c r="O41" s="65"/>
    </row>
    <row r="42" spans="1:15">
      <c r="A42" s="71" t="s">
        <v>245</v>
      </c>
      <c r="G42" s="65"/>
      <c r="H42" s="64"/>
      <c r="I42" s="71" t="s">
        <v>245</v>
      </c>
      <c r="O42" s="65"/>
    </row>
    <row r="43" spans="1:15">
      <c r="A43" s="70" t="s">
        <v>34</v>
      </c>
      <c r="B43" s="39">
        <f>B35</f>
        <v>451012.5</v>
      </c>
      <c r="C43" s="47">
        <f>C35</f>
        <v>601350</v>
      </c>
      <c r="D43" s="47">
        <f>D35</f>
        <v>751312.5</v>
      </c>
      <c r="E43" s="80" t="s">
        <v>31</v>
      </c>
      <c r="G43" s="65"/>
      <c r="H43" s="64"/>
      <c r="I43" s="70" t="s">
        <v>34</v>
      </c>
      <c r="J43" s="39">
        <f>J35</f>
        <v>451012.5</v>
      </c>
      <c r="K43" s="47">
        <f>K35</f>
        <v>601350</v>
      </c>
      <c r="L43" s="47">
        <f>L35</f>
        <v>751312.5</v>
      </c>
      <c r="M43" s="80" t="s">
        <v>31</v>
      </c>
      <c r="O43" s="65"/>
    </row>
    <row r="44" spans="1:15">
      <c r="A44" s="67" t="s">
        <v>203</v>
      </c>
      <c r="B44" s="38">
        <f>((B43/B32)/E22)</f>
        <v>48.34003215434084</v>
      </c>
      <c r="C44" s="38">
        <f>((C43/B32)/E22)</f>
        <v>64.453376205787777</v>
      </c>
      <c r="D44" s="38">
        <f>((D43/B32)/E22)</f>
        <v>80.526527331189712</v>
      </c>
      <c r="E44" s="81">
        <f>AVERAGE(B44:D44)</f>
        <v>64.439978563772783</v>
      </c>
      <c r="G44" s="65"/>
      <c r="H44" s="64"/>
      <c r="I44" s="67" t="s">
        <v>203</v>
      </c>
      <c r="J44" s="38">
        <f>((J43/J32)/M22)</f>
        <v>48.34003215434084</v>
      </c>
      <c r="K44" s="38">
        <f>((K43/J32)/M22)</f>
        <v>64.453376205787777</v>
      </c>
      <c r="L44" s="38">
        <f>((L43/J32)/M22)</f>
        <v>80.526527331189712</v>
      </c>
      <c r="M44" s="81">
        <f>AVERAGE(J44:L44)</f>
        <v>64.439978563772783</v>
      </c>
      <c r="O44" s="65"/>
    </row>
    <row r="45" spans="1:15">
      <c r="A45" s="67" t="s">
        <v>204</v>
      </c>
      <c r="B45" s="38">
        <f>((B43/B32)/E23)</f>
        <v>683.35227272727275</v>
      </c>
      <c r="C45" s="48">
        <f>((C43/B32)/E23)</f>
        <v>911.13636363636363</v>
      </c>
      <c r="D45" s="48">
        <f>((D43/B32)/E23)</f>
        <v>1138.3522727272727</v>
      </c>
      <c r="E45" s="81">
        <f>AVERAGE(B45:D45)</f>
        <v>910.94696969696963</v>
      </c>
      <c r="G45" s="65"/>
      <c r="H45" s="64"/>
      <c r="I45" s="67" t="s">
        <v>204</v>
      </c>
      <c r="J45" s="38">
        <f>((J43/J32)/M23)</f>
        <v>683.35227272727275</v>
      </c>
      <c r="K45" s="48">
        <f>((K43/J32)/M23)</f>
        <v>911.13636363636363</v>
      </c>
      <c r="L45" s="48">
        <f>((L43/J32)/M23)</f>
        <v>1138.3522727272727</v>
      </c>
      <c r="M45" s="81">
        <f>AVERAGE(J45:L45)</f>
        <v>910.94696969696963</v>
      </c>
      <c r="O45" s="65"/>
    </row>
    <row r="46" spans="1:15">
      <c r="A46" s="67" t="s">
        <v>205</v>
      </c>
      <c r="B46" s="38">
        <f>((B43/B32)/F12)</f>
        <v>0.37584374999999998</v>
      </c>
      <c r="C46" s="48">
        <f>((C43/B32)/F12)</f>
        <v>0.50112500000000004</v>
      </c>
      <c r="D46" s="48">
        <f>((D43/B32)/F12)</f>
        <v>0.62609375</v>
      </c>
      <c r="E46" s="81">
        <f>AVERAGE(B46:D46)</f>
        <v>0.50102083333333336</v>
      </c>
      <c r="G46" s="65"/>
      <c r="H46" s="64"/>
      <c r="I46" s="67" t="s">
        <v>205</v>
      </c>
      <c r="J46" s="38">
        <f>((J43/J32)/N12)</f>
        <v>0.37584374999999998</v>
      </c>
      <c r="K46" s="48">
        <f>((K43/J32)/N12)</f>
        <v>0.50112500000000004</v>
      </c>
      <c r="L46" s="48">
        <f>((L43/J32)/N12)</f>
        <v>0.62609375</v>
      </c>
      <c r="M46" s="81">
        <f>AVERAGE(J46:L46)</f>
        <v>0.50102083333333336</v>
      </c>
      <c r="O46" s="65"/>
    </row>
    <row r="47" spans="1:15">
      <c r="A47" s="67" t="s">
        <v>206</v>
      </c>
      <c r="B47" s="38">
        <f>((B43/B32)/B29)</f>
        <v>462.57692307692309</v>
      </c>
      <c r="C47" s="48">
        <f>((C43/B32)/B29)</f>
        <v>616.76923076923072</v>
      </c>
      <c r="D47" s="48">
        <f>((D43/B32)/B29)</f>
        <v>770.57692307692309</v>
      </c>
      <c r="E47" s="81">
        <f>AVERAGE(B47:D47)</f>
        <v>616.64102564102564</v>
      </c>
      <c r="G47" s="65"/>
      <c r="H47" s="64"/>
      <c r="I47" s="67" t="s">
        <v>206</v>
      </c>
      <c r="J47" s="38">
        <f>((J43/J32)/J29)</f>
        <v>132.16483516483515</v>
      </c>
      <c r="K47" s="48">
        <f>((K43/J32)/J29)</f>
        <v>176.21978021978023</v>
      </c>
      <c r="L47" s="48">
        <f>((L43/J32)/J29)</f>
        <v>220.16483516483515</v>
      </c>
      <c r="M47" s="81">
        <f>AVERAGE(J47:L47)</f>
        <v>176.18315018315016</v>
      </c>
      <c r="O47" s="65"/>
    </row>
    <row r="48" spans="1:15">
      <c r="A48" s="67" t="s">
        <v>207</v>
      </c>
      <c r="B48" s="38">
        <f>((B43/B32)/C29)</f>
        <v>125.28125</v>
      </c>
      <c r="C48" s="48">
        <f>((C43/B32)/C29)</f>
        <v>167.04166666666666</v>
      </c>
      <c r="D48" s="48">
        <f>((D43/B32)/C29)</f>
        <v>208.69791666666666</v>
      </c>
      <c r="E48" s="81">
        <f>AVERAGE(B48:D48)</f>
        <v>167.00694444444443</v>
      </c>
      <c r="G48" s="65"/>
      <c r="H48" s="64"/>
      <c r="I48" s="67" t="s">
        <v>207</v>
      </c>
      <c r="J48" s="38">
        <f>((J43/J32)/K29)</f>
        <v>35.794642857142854</v>
      </c>
      <c r="K48" s="48">
        <f>((K43/J32)/K29)</f>
        <v>47.726190476190474</v>
      </c>
      <c r="L48" s="48">
        <f>((L43/J32)/K29)</f>
        <v>59.62797619047619</v>
      </c>
      <c r="M48" s="81">
        <f>AVERAGE(J48:L48)</f>
        <v>47.716269841269842</v>
      </c>
      <c r="O48" s="65"/>
    </row>
    <row r="49" spans="1:15">
      <c r="A49" s="64"/>
      <c r="G49" s="65"/>
      <c r="H49" s="64"/>
      <c r="O49" s="65"/>
    </row>
    <row r="50" spans="1:15" ht="15" thickBot="1">
      <c r="A50" s="75"/>
      <c r="B50" s="84"/>
      <c r="C50" s="76"/>
      <c r="D50" s="76"/>
      <c r="E50" s="76"/>
      <c r="F50" s="76"/>
      <c r="G50" s="77"/>
      <c r="H50" s="75"/>
      <c r="I50" s="76"/>
      <c r="J50" s="76"/>
      <c r="K50" s="76"/>
      <c r="L50" s="76"/>
      <c r="M50" s="76"/>
      <c r="N50" s="76"/>
      <c r="O50" s="77"/>
    </row>
  </sheetData>
  <sheetProtection sheet="1" objects="1" scenarios="1"/>
  <mergeCells count="16">
    <mergeCell ref="L21:M21"/>
    <mergeCell ref="A15:B15"/>
    <mergeCell ref="I15:J15"/>
    <mergeCell ref="A21:B21"/>
    <mergeCell ref="I21:J21"/>
    <mergeCell ref="I18:J18"/>
    <mergeCell ref="A18:B18"/>
    <mergeCell ref="D21:E21"/>
    <mergeCell ref="I13:K13"/>
    <mergeCell ref="D8:F8"/>
    <mergeCell ref="L8:N8"/>
    <mergeCell ref="A11:C11"/>
    <mergeCell ref="D11:F11"/>
    <mergeCell ref="I11:K11"/>
    <mergeCell ref="L11:N11"/>
    <mergeCell ref="A13:E13"/>
  </mergeCells>
  <hyperlinks>
    <hyperlink ref="I13" r:id="rId1" xr:uid="{A67A0D7A-9D77-E94A-9706-AB1639E0EB66}"/>
  </hyperlinks>
  <pageMargins left="0.7" right="0.7" top="0.75" bottom="0.75" header="0.3" footer="0.3"/>
  <pageSetup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1A223-3739-6144-A70C-CB594FB74DAF}">
  <sheetPr>
    <tabColor theme="9" tint="0.39997558519241921"/>
    <pageSetUpPr fitToPage="1"/>
  </sheetPr>
  <dimension ref="A1:G136"/>
  <sheetViews>
    <sheetView topLeftCell="A98" zoomScale="120" zoomScaleNormal="120" workbookViewId="0"/>
  </sheetViews>
  <sheetFormatPr defaultColWidth="8.81640625" defaultRowHeight="14.5"/>
  <cols>
    <col min="1" max="1" width="27.6328125" customWidth="1"/>
    <col min="2" max="2" width="18.6328125" bestFit="1" customWidth="1"/>
    <col min="3" max="5" width="17.453125" customWidth="1"/>
  </cols>
  <sheetData>
    <row r="1" spans="1:5" ht="23.5">
      <c r="A1" s="60" t="s">
        <v>60</v>
      </c>
      <c r="B1" s="61"/>
      <c r="C1" s="62"/>
      <c r="D1" s="62"/>
      <c r="E1" s="62"/>
    </row>
    <row r="2" spans="1:5">
      <c r="A2" s="64"/>
    </row>
    <row r="3" spans="1:5">
      <c r="A3" s="487" t="s">
        <v>59</v>
      </c>
      <c r="B3" s="488"/>
      <c r="C3" s="488"/>
      <c r="D3" s="488"/>
      <c r="E3" s="488"/>
    </row>
    <row r="4" spans="1:5" ht="189" customHeight="1">
      <c r="A4" s="489" t="s">
        <v>63</v>
      </c>
      <c r="B4" s="490"/>
      <c r="C4" s="490"/>
      <c r="D4" s="490"/>
      <c r="E4" s="490"/>
    </row>
    <row r="5" spans="1:5" ht="128.25" customHeight="1">
      <c r="A5" s="491" t="s">
        <v>290</v>
      </c>
      <c r="B5" s="492"/>
      <c r="C5" s="492"/>
      <c r="D5" s="492"/>
      <c r="E5" s="492"/>
    </row>
    <row r="6" spans="1:5">
      <c r="A6" s="87"/>
    </row>
    <row r="7" spans="1:5">
      <c r="A7" s="64"/>
    </row>
    <row r="8" spans="1:5">
      <c r="A8" s="493" t="s">
        <v>285</v>
      </c>
      <c r="B8" s="494"/>
      <c r="C8" s="494"/>
      <c r="D8" s="494"/>
      <c r="E8" s="494"/>
    </row>
    <row r="9" spans="1:5">
      <c r="A9" s="476" t="s">
        <v>258</v>
      </c>
      <c r="B9" s="469"/>
      <c r="C9" s="469"/>
      <c r="D9" s="469"/>
      <c r="E9" s="469"/>
    </row>
    <row r="10" spans="1:5" ht="58.5" customHeight="1">
      <c r="A10" s="491"/>
      <c r="B10" s="492"/>
      <c r="C10" s="492"/>
      <c r="D10" s="492"/>
      <c r="E10" s="492"/>
    </row>
    <row r="11" spans="1:5" ht="58.5" customHeight="1">
      <c r="A11" s="491" t="s">
        <v>259</v>
      </c>
      <c r="B11" s="492"/>
      <c r="C11" s="492"/>
      <c r="D11" s="492"/>
      <c r="E11" s="492"/>
    </row>
    <row r="12" spans="1:5">
      <c r="A12" s="64"/>
    </row>
    <row r="13" spans="1:5">
      <c r="A13" s="495" t="s">
        <v>61</v>
      </c>
      <c r="B13" s="496"/>
      <c r="C13" s="496"/>
      <c r="D13" s="497"/>
      <c r="E13" s="498"/>
    </row>
    <row r="14" spans="1:5">
      <c r="A14" s="476" t="s">
        <v>62</v>
      </c>
      <c r="B14" s="469"/>
      <c r="C14" s="469"/>
      <c r="D14" s="492"/>
      <c r="E14" s="492"/>
    </row>
    <row r="15" spans="1:5" ht="78.75" customHeight="1">
      <c r="A15" s="491"/>
      <c r="B15" s="492"/>
      <c r="C15" s="492"/>
      <c r="D15" s="492"/>
      <c r="E15" s="492"/>
    </row>
    <row r="16" spans="1:5">
      <c r="A16" s="74"/>
    </row>
    <row r="17" spans="1:5">
      <c r="A17" s="64"/>
    </row>
    <row r="18" spans="1:5">
      <c r="A18" s="82" t="s">
        <v>133</v>
      </c>
    </row>
    <row r="19" spans="1:5" ht="43.5" customHeight="1">
      <c r="A19" s="491" t="s">
        <v>32</v>
      </c>
      <c r="B19" s="492"/>
      <c r="C19" s="492"/>
      <c r="D19" s="492"/>
      <c r="E19" s="492"/>
    </row>
    <row r="20" spans="1:5">
      <c r="A20" s="74" t="s">
        <v>33</v>
      </c>
    </row>
    <row r="21" spans="1:5">
      <c r="B21" s="347"/>
    </row>
    <row r="22" spans="1:5">
      <c r="A22" s="82" t="s">
        <v>75</v>
      </c>
    </row>
    <row r="23" spans="1:5">
      <c r="A23" t="s">
        <v>76</v>
      </c>
    </row>
    <row r="24" spans="1:5">
      <c r="A24" s="82"/>
    </row>
    <row r="25" spans="1:5">
      <c r="A25" s="82" t="s">
        <v>85</v>
      </c>
    </row>
    <row r="26" spans="1:5">
      <c r="A26" t="s">
        <v>86</v>
      </c>
    </row>
    <row r="27" spans="1:5">
      <c r="A27" t="s">
        <v>90</v>
      </c>
    </row>
    <row r="28" spans="1:5">
      <c r="A28" s="499" t="s">
        <v>88</v>
      </c>
      <c r="B28" s="107" t="s">
        <v>2</v>
      </c>
      <c r="C28" s="107" t="s">
        <v>87</v>
      </c>
      <c r="D28" s="107" t="s">
        <v>0</v>
      </c>
      <c r="E28" s="107" t="s">
        <v>89</v>
      </c>
    </row>
    <row r="29" spans="1:5">
      <c r="A29" s="500"/>
      <c r="B29" s="38">
        <v>5663</v>
      </c>
      <c r="C29" s="38">
        <v>7510</v>
      </c>
      <c r="D29" s="38">
        <v>9381</v>
      </c>
      <c r="E29" s="38">
        <f>AVERAGE(B29:D29)</f>
        <v>7518</v>
      </c>
    </row>
    <row r="30" spans="1:5">
      <c r="A30" s="82"/>
    </row>
    <row r="32" spans="1:5">
      <c r="A32" s="82" t="s">
        <v>65</v>
      </c>
    </row>
    <row r="33" spans="1:7">
      <c r="A33" s="1" t="s">
        <v>233</v>
      </c>
    </row>
    <row r="34" spans="1:7">
      <c r="A34" s="1" t="s">
        <v>234</v>
      </c>
    </row>
    <row r="35" spans="1:7">
      <c r="A35" s="1" t="s">
        <v>235</v>
      </c>
    </row>
    <row r="36" spans="1:7">
      <c r="A36" s="1" t="s">
        <v>236</v>
      </c>
    </row>
    <row r="37" spans="1:7">
      <c r="A37" s="1" t="s">
        <v>237</v>
      </c>
    </row>
    <row r="39" spans="1:7" ht="18.5">
      <c r="A39" s="485" t="s">
        <v>226</v>
      </c>
      <c r="B39" s="486"/>
      <c r="G39" s="375"/>
    </row>
    <row r="40" spans="1:7" ht="18.5">
      <c r="A40" s="129" t="s">
        <v>99</v>
      </c>
      <c r="B40" s="128">
        <v>2000</v>
      </c>
      <c r="G40" s="375"/>
    </row>
    <row r="41" spans="1:7" ht="17" customHeight="1">
      <c r="A41" s="127">
        <v>0</v>
      </c>
      <c r="B41" s="128"/>
      <c r="G41" s="375"/>
    </row>
    <row r="42" spans="1:7" ht="16" customHeight="1">
      <c r="A42" s="128">
        <v>500</v>
      </c>
      <c r="B42" s="128">
        <v>500</v>
      </c>
      <c r="G42" s="375"/>
    </row>
    <row r="43" spans="1:7">
      <c r="A43" s="128">
        <v>1000</v>
      </c>
      <c r="B43" s="128">
        <v>1000</v>
      </c>
    </row>
    <row r="44" spans="1:7">
      <c r="A44" s="128">
        <v>2000</v>
      </c>
      <c r="B44" s="128">
        <v>2000</v>
      </c>
    </row>
    <row r="45" spans="1:7">
      <c r="A45" s="128">
        <v>3000</v>
      </c>
      <c r="B45" s="128">
        <v>3000</v>
      </c>
    </row>
    <row r="46" spans="1:7">
      <c r="A46" s="128">
        <v>4000</v>
      </c>
      <c r="B46" s="128">
        <v>4000</v>
      </c>
    </row>
    <row r="47" spans="1:7">
      <c r="A47" s="128">
        <v>5000</v>
      </c>
      <c r="B47" s="128">
        <v>5000</v>
      </c>
    </row>
    <row r="48" spans="1:7">
      <c r="A48" s="128"/>
      <c r="B48" s="128"/>
    </row>
    <row r="50" spans="1:4" ht="29">
      <c r="A50" s="1" t="s">
        <v>228</v>
      </c>
      <c r="B50" s="1" t="s">
        <v>73</v>
      </c>
      <c r="C50" s="341" t="s">
        <v>273</v>
      </c>
      <c r="D50" s="341" t="s">
        <v>274</v>
      </c>
    </row>
    <row r="51" spans="1:4">
      <c r="A51" s="1" t="s">
        <v>66</v>
      </c>
      <c r="B51" s="1" t="s">
        <v>267</v>
      </c>
      <c r="C51" s="128">
        <v>8</v>
      </c>
      <c r="D51" s="128">
        <v>5</v>
      </c>
    </row>
    <row r="52" spans="1:4" ht="72.5">
      <c r="A52" s="1" t="s">
        <v>67</v>
      </c>
      <c r="B52" s="341" t="s">
        <v>269</v>
      </c>
      <c r="C52" s="128">
        <v>12.5</v>
      </c>
      <c r="D52" s="128">
        <v>5</v>
      </c>
    </row>
    <row r="54" spans="1:4">
      <c r="A54" s="1" t="s">
        <v>230</v>
      </c>
      <c r="B54" s="1" t="s">
        <v>73</v>
      </c>
      <c r="C54" s="1" t="s">
        <v>266</v>
      </c>
    </row>
    <row r="55" spans="1:4">
      <c r="A55" s="1" t="s">
        <v>68</v>
      </c>
      <c r="B55" s="1" t="s">
        <v>267</v>
      </c>
      <c r="C55" s="128">
        <v>8</v>
      </c>
    </row>
    <row r="56" spans="1:4" ht="43.5">
      <c r="A56" s="1" t="s">
        <v>93</v>
      </c>
      <c r="B56" s="341" t="s">
        <v>270</v>
      </c>
      <c r="C56" s="128">
        <v>12.5</v>
      </c>
    </row>
    <row r="58" spans="1:4">
      <c r="A58" s="485" t="s">
        <v>227</v>
      </c>
      <c r="B58" s="486"/>
    </row>
    <row r="59" spans="1:4">
      <c r="A59" s="129" t="s">
        <v>99</v>
      </c>
      <c r="B59" s="128">
        <v>250</v>
      </c>
    </row>
    <row r="60" spans="1:4">
      <c r="A60" s="127">
        <v>0</v>
      </c>
      <c r="B60" s="128">
        <v>0</v>
      </c>
    </row>
    <row r="61" spans="1:4">
      <c r="A61" s="128">
        <v>100</v>
      </c>
      <c r="B61" s="128">
        <v>100</v>
      </c>
    </row>
    <row r="62" spans="1:4">
      <c r="A62" s="128">
        <v>150</v>
      </c>
      <c r="B62" s="128">
        <v>150</v>
      </c>
    </row>
    <row r="63" spans="1:4">
      <c r="A63" s="128">
        <v>200</v>
      </c>
      <c r="B63" s="128">
        <v>200</v>
      </c>
    </row>
    <row r="64" spans="1:4">
      <c r="A64" s="128">
        <v>250</v>
      </c>
      <c r="B64" s="128">
        <v>250</v>
      </c>
    </row>
    <row r="65" spans="1:7">
      <c r="A65" s="128">
        <v>300</v>
      </c>
      <c r="B65" s="128">
        <v>300</v>
      </c>
    </row>
    <row r="66" spans="1:7">
      <c r="A66" s="128">
        <v>350</v>
      </c>
      <c r="B66" s="128">
        <v>350</v>
      </c>
    </row>
    <row r="67" spans="1:7">
      <c r="A67" s="128">
        <v>400</v>
      </c>
      <c r="B67" s="128">
        <v>400</v>
      </c>
    </row>
    <row r="68" spans="1:7">
      <c r="A68" s="276"/>
      <c r="B68" s="277"/>
    </row>
    <row r="69" spans="1:7">
      <c r="A69" s="501" t="s">
        <v>222</v>
      </c>
      <c r="B69" s="502"/>
      <c r="D69" s="124"/>
    </row>
    <row r="70" spans="1:7">
      <c r="A70" s="127" t="s">
        <v>99</v>
      </c>
      <c r="B70" s="128">
        <v>750</v>
      </c>
    </row>
    <row r="71" spans="1:7">
      <c r="A71" s="127">
        <v>0</v>
      </c>
      <c r="B71" s="128">
        <v>0</v>
      </c>
    </row>
    <row r="72" spans="1:7">
      <c r="A72" s="128">
        <v>400</v>
      </c>
      <c r="B72" s="128">
        <v>400</v>
      </c>
    </row>
    <row r="73" spans="1:7">
      <c r="A73" s="128">
        <v>500</v>
      </c>
      <c r="B73" s="128">
        <v>500</v>
      </c>
    </row>
    <row r="74" spans="1:7" ht="18.5">
      <c r="A74" s="128">
        <v>600</v>
      </c>
      <c r="B74" s="128">
        <v>600</v>
      </c>
      <c r="G74" s="375"/>
    </row>
    <row r="75" spans="1:7" ht="18.5">
      <c r="A75" s="128">
        <v>700</v>
      </c>
      <c r="B75" s="128">
        <v>700</v>
      </c>
      <c r="G75" s="375"/>
    </row>
    <row r="76" spans="1:7" ht="18.5">
      <c r="A76" s="128">
        <v>800</v>
      </c>
      <c r="B76" s="128">
        <v>800</v>
      </c>
      <c r="G76" s="375"/>
    </row>
    <row r="77" spans="1:7" ht="18.5">
      <c r="A77" s="128">
        <v>900</v>
      </c>
      <c r="B77" s="128">
        <v>900</v>
      </c>
      <c r="G77" s="375"/>
    </row>
    <row r="78" spans="1:7" ht="18.5">
      <c r="A78" s="128">
        <v>1000</v>
      </c>
      <c r="B78" s="128">
        <v>1000</v>
      </c>
      <c r="G78" s="376"/>
    </row>
    <row r="79" spans="1:7" ht="18.5">
      <c r="B79" s="125"/>
      <c r="G79" s="375"/>
    </row>
    <row r="80" spans="1:7">
      <c r="A80" s="485" t="s">
        <v>178</v>
      </c>
      <c r="B80" s="486"/>
    </row>
    <row r="81" spans="1:2">
      <c r="A81" s="129" t="s">
        <v>99</v>
      </c>
      <c r="B81" s="128">
        <v>2000</v>
      </c>
    </row>
    <row r="82" spans="1:2">
      <c r="A82" s="127">
        <v>0</v>
      </c>
      <c r="B82" s="128">
        <v>0</v>
      </c>
    </row>
    <row r="83" spans="1:2">
      <c r="A83" s="128">
        <v>1000</v>
      </c>
      <c r="B83" s="128">
        <v>1000</v>
      </c>
    </row>
    <row r="84" spans="1:2">
      <c r="A84" s="128">
        <v>3000</v>
      </c>
      <c r="B84" s="128">
        <v>3000</v>
      </c>
    </row>
    <row r="85" spans="1:2">
      <c r="A85" s="128">
        <v>5000</v>
      </c>
      <c r="B85" s="128">
        <v>5000</v>
      </c>
    </row>
    <row r="86" spans="1:2">
      <c r="A86" s="128">
        <v>7000</v>
      </c>
      <c r="B86" s="128">
        <v>7000</v>
      </c>
    </row>
    <row r="87" spans="1:2">
      <c r="A87" s="128">
        <v>10000</v>
      </c>
      <c r="B87" s="128">
        <v>10000</v>
      </c>
    </row>
    <row r="89" spans="1:2">
      <c r="A89" s="485" t="s">
        <v>223</v>
      </c>
      <c r="B89" s="486"/>
    </row>
    <row r="90" spans="1:2">
      <c r="A90" s="129" t="s">
        <v>99</v>
      </c>
      <c r="B90" s="128">
        <v>1000</v>
      </c>
    </row>
    <row r="91" spans="1:2">
      <c r="A91" s="128">
        <v>0</v>
      </c>
      <c r="B91" s="128">
        <v>0</v>
      </c>
    </row>
    <row r="92" spans="1:2">
      <c r="A92" s="128">
        <v>1000</v>
      </c>
      <c r="B92" s="128">
        <v>1000</v>
      </c>
    </row>
    <row r="93" spans="1:2">
      <c r="A93" s="128">
        <v>3000</v>
      </c>
      <c r="B93" s="128">
        <v>3000</v>
      </c>
    </row>
    <row r="94" spans="1:2">
      <c r="A94" s="128">
        <v>5000</v>
      </c>
      <c r="B94" s="128">
        <v>5000</v>
      </c>
    </row>
    <row r="95" spans="1:2">
      <c r="A95" s="128">
        <v>10000</v>
      </c>
      <c r="B95" s="128">
        <v>10000</v>
      </c>
    </row>
    <row r="96" spans="1:2">
      <c r="A96" s="128">
        <v>15000</v>
      </c>
      <c r="B96" s="128">
        <v>15000</v>
      </c>
    </row>
    <row r="97" spans="1:1">
      <c r="A97" s="125"/>
    </row>
    <row r="98" spans="1:1">
      <c r="A98" s="1" t="s">
        <v>225</v>
      </c>
    </row>
    <row r="99" spans="1:1">
      <c r="A99" s="128">
        <v>0</v>
      </c>
    </row>
    <row r="100" spans="1:1">
      <c r="A100" s="128">
        <v>1000</v>
      </c>
    </row>
    <row r="101" spans="1:1">
      <c r="A101" s="128">
        <v>3000</v>
      </c>
    </row>
    <row r="102" spans="1:1">
      <c r="A102" s="128">
        <v>6000</v>
      </c>
    </row>
    <row r="103" spans="1:1">
      <c r="A103" s="128">
        <v>9000</v>
      </c>
    </row>
    <row r="105" spans="1:1" ht="29">
      <c r="A105" s="377" t="s">
        <v>224</v>
      </c>
    </row>
    <row r="106" spans="1:1">
      <c r="A106" s="1">
        <v>5</v>
      </c>
    </row>
    <row r="107" spans="1:1">
      <c r="A107" s="1">
        <v>10</v>
      </c>
    </row>
    <row r="108" spans="1:1">
      <c r="A108" s="1">
        <v>15</v>
      </c>
    </row>
    <row r="109" spans="1:1">
      <c r="A109" s="1">
        <v>20</v>
      </c>
    </row>
    <row r="110" spans="1:1">
      <c r="A110" s="1">
        <v>25</v>
      </c>
    </row>
    <row r="111" spans="1:1">
      <c r="A111" s="1">
        <v>30</v>
      </c>
    </row>
    <row r="112" spans="1:1" ht="12.75" customHeight="1"/>
    <row r="113" spans="1:5">
      <c r="A113" s="1" t="s">
        <v>229</v>
      </c>
    </row>
    <row r="114" spans="1:5">
      <c r="A114" s="1" t="s">
        <v>69</v>
      </c>
    </row>
    <row r="115" spans="1:5">
      <c r="A115" s="1" t="s">
        <v>70</v>
      </c>
    </row>
    <row r="117" spans="1:5">
      <c r="A117" s="503" t="s">
        <v>101</v>
      </c>
      <c r="B117" s="503"/>
      <c r="C117" s="503"/>
      <c r="D117" s="503"/>
      <c r="E117" s="503"/>
    </row>
    <row r="118" spans="1:5" ht="67.5" customHeight="1">
      <c r="A118" s="504" t="s">
        <v>102</v>
      </c>
      <c r="B118" s="504"/>
      <c r="C118" s="504"/>
      <c r="D118" s="504"/>
      <c r="E118" s="504"/>
    </row>
    <row r="120" spans="1:5">
      <c r="A120" s="146" t="s">
        <v>109</v>
      </c>
      <c r="B120" s="146"/>
      <c r="C120" s="146"/>
      <c r="D120" s="146"/>
      <c r="E120" s="146"/>
    </row>
    <row r="121" spans="1:5" ht="31.5" customHeight="1">
      <c r="A121" s="492" t="s">
        <v>291</v>
      </c>
      <c r="B121" s="492"/>
      <c r="C121" s="492"/>
      <c r="D121" s="492"/>
      <c r="E121" s="492"/>
    </row>
    <row r="123" spans="1:5">
      <c r="A123" s="170" t="s">
        <v>134</v>
      </c>
      <c r="B123" s="170"/>
      <c r="C123" s="170"/>
      <c r="D123" s="170"/>
      <c r="E123" s="170"/>
    </row>
    <row r="124" spans="1:5">
      <c r="A124" s="492" t="s">
        <v>135</v>
      </c>
      <c r="B124" s="492"/>
      <c r="C124" s="492"/>
      <c r="D124" s="492"/>
      <c r="E124" s="492"/>
    </row>
    <row r="125" spans="1:5">
      <c r="A125" s="492"/>
      <c r="B125" s="492"/>
      <c r="C125" s="492"/>
      <c r="D125" s="492"/>
      <c r="E125" s="492"/>
    </row>
    <row r="126" spans="1:5">
      <c r="A126" s="492"/>
      <c r="B126" s="492"/>
      <c r="C126" s="492"/>
      <c r="D126" s="492"/>
      <c r="E126" s="492"/>
    </row>
    <row r="127" spans="1:5">
      <c r="A127" s="492"/>
      <c r="B127" s="492"/>
      <c r="C127" s="492"/>
      <c r="D127" s="492"/>
      <c r="E127" s="492"/>
    </row>
    <row r="128" spans="1:5">
      <c r="A128" s="492"/>
      <c r="B128" s="492"/>
      <c r="C128" s="492"/>
      <c r="D128" s="492"/>
      <c r="E128" s="492"/>
    </row>
    <row r="129" spans="1:5">
      <c r="A129" s="492"/>
      <c r="B129" s="492"/>
      <c r="C129" s="492"/>
      <c r="D129" s="492"/>
      <c r="E129" s="492"/>
    </row>
    <row r="130" spans="1:5">
      <c r="A130" s="492"/>
      <c r="B130" s="492"/>
      <c r="C130" s="492"/>
      <c r="D130" s="492"/>
      <c r="E130" s="492"/>
    </row>
    <row r="131" spans="1:5">
      <c r="A131" s="492"/>
      <c r="B131" s="492"/>
      <c r="C131" s="492"/>
      <c r="D131" s="492"/>
      <c r="E131" s="492"/>
    </row>
    <row r="132" spans="1:5">
      <c r="A132" s="492"/>
      <c r="B132" s="492"/>
      <c r="C132" s="492"/>
      <c r="D132" s="492"/>
      <c r="E132" s="492"/>
    </row>
    <row r="133" spans="1:5">
      <c r="A133" s="492"/>
      <c r="B133" s="492"/>
      <c r="C133" s="492"/>
      <c r="D133" s="492"/>
      <c r="E133" s="492"/>
    </row>
    <row r="134" spans="1:5">
      <c r="A134" s="492"/>
      <c r="B134" s="492"/>
      <c r="C134" s="492"/>
      <c r="D134" s="492"/>
      <c r="E134" s="492"/>
    </row>
    <row r="135" spans="1:5">
      <c r="A135" s="492"/>
      <c r="B135" s="492"/>
      <c r="C135" s="492"/>
      <c r="D135" s="492"/>
      <c r="E135" s="492"/>
    </row>
    <row r="136" spans="1:5">
      <c r="A136" s="492"/>
      <c r="B136" s="492"/>
      <c r="C136" s="492"/>
      <c r="D136" s="492"/>
      <c r="E136" s="492"/>
    </row>
  </sheetData>
  <sheetProtection sheet="1" objects="1" scenarios="1"/>
  <mergeCells count="20">
    <mergeCell ref="A121:E121"/>
    <mergeCell ref="A124:E136"/>
    <mergeCell ref="A58:B58"/>
    <mergeCell ref="A69:B69"/>
    <mergeCell ref="A80:B80"/>
    <mergeCell ref="A89:B89"/>
    <mergeCell ref="A117:E117"/>
    <mergeCell ref="A118:E118"/>
    <mergeCell ref="A39:B39"/>
    <mergeCell ref="A3:E3"/>
    <mergeCell ref="A4:E4"/>
    <mergeCell ref="A5:E5"/>
    <mergeCell ref="A8:E8"/>
    <mergeCell ref="A9:E10"/>
    <mergeCell ref="A11:E11"/>
    <mergeCell ref="A13:C13"/>
    <mergeCell ref="D13:E13"/>
    <mergeCell ref="A14:E15"/>
    <mergeCell ref="A19:E19"/>
    <mergeCell ref="A28:A29"/>
  </mergeCells>
  <hyperlinks>
    <hyperlink ref="A20" r:id="rId1" xr:uid="{EF3B493B-37B6-304B-A456-0B8DEA96059F}"/>
  </hyperlinks>
  <pageMargins left="0.7" right="0.7" top="0.75" bottom="0.75" header="0.3" footer="0.3"/>
  <pageSetup scale="10"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B24E-5FE3-E844-B691-D5D83D97A0CE}">
  <dimension ref="A1:K35"/>
  <sheetViews>
    <sheetView zoomScale="150" workbookViewId="0">
      <selection activeCell="B1" sqref="B1"/>
    </sheetView>
  </sheetViews>
  <sheetFormatPr defaultColWidth="8.81640625" defaultRowHeight="14.5"/>
  <cols>
    <col min="1" max="1" width="3.1796875" style="33" customWidth="1"/>
    <col min="2" max="2" width="18.36328125" style="358" customWidth="1"/>
    <col min="4" max="4" width="22" customWidth="1"/>
    <col min="5" max="5" width="3.6328125" style="18" customWidth="1"/>
    <col min="7" max="7" width="4.1796875" customWidth="1"/>
    <col min="8" max="8" width="17.1796875" customWidth="1"/>
    <col min="9" max="9" width="13.36328125" customWidth="1"/>
    <col min="10" max="10" width="6" customWidth="1"/>
    <col min="11" max="11" width="4.81640625" customWidth="1"/>
  </cols>
  <sheetData>
    <row r="1" spans="1:11" s="357" customFormat="1" ht="24">
      <c r="A1" s="505" t="s">
        <v>3</v>
      </c>
      <c r="B1" s="4" t="s">
        <v>4</v>
      </c>
      <c r="C1" s="5" t="s">
        <v>5</v>
      </c>
      <c r="D1" s="5" t="s">
        <v>6</v>
      </c>
      <c r="E1" s="5" t="s">
        <v>7</v>
      </c>
      <c r="G1" s="505" t="s">
        <v>3</v>
      </c>
      <c r="H1" s="5" t="s">
        <v>4</v>
      </c>
      <c r="I1" s="5" t="s">
        <v>8</v>
      </c>
      <c r="J1" s="5" t="s">
        <v>6</v>
      </c>
      <c r="K1" s="5" t="s">
        <v>7</v>
      </c>
    </row>
    <row r="2" spans="1:11">
      <c r="A2" s="505"/>
      <c r="B2" s="43" t="s">
        <v>9</v>
      </c>
      <c r="C2" s="44">
        <v>32.622200628918698</v>
      </c>
      <c r="D2" s="45" t="s">
        <v>10</v>
      </c>
      <c r="E2" s="46"/>
      <c r="G2" s="505"/>
      <c r="H2" s="10" t="s">
        <v>9</v>
      </c>
      <c r="I2" s="11">
        <f t="shared" ref="I2:I6" si="0">2000/C2</f>
        <v>61.30794248831436</v>
      </c>
      <c r="J2" s="8" t="s">
        <v>11</v>
      </c>
      <c r="K2" s="9"/>
    </row>
    <row r="3" spans="1:11">
      <c r="A3" s="505"/>
      <c r="B3" s="6" t="s">
        <v>12</v>
      </c>
      <c r="C3" s="7">
        <v>21.309905845432201</v>
      </c>
      <c r="D3" s="8" t="s">
        <v>10</v>
      </c>
      <c r="E3" s="9"/>
      <c r="G3" s="505"/>
      <c r="H3" s="10" t="s">
        <v>12</v>
      </c>
      <c r="I3" s="11">
        <f t="shared" si="0"/>
        <v>93.85306601102144</v>
      </c>
      <c r="J3" s="8" t="s">
        <v>11</v>
      </c>
      <c r="K3" s="9"/>
    </row>
    <row r="4" spans="1:11">
      <c r="A4" s="505"/>
      <c r="B4" s="6" t="s">
        <v>13</v>
      </c>
      <c r="C4" s="7">
        <v>18.8347267218432</v>
      </c>
      <c r="D4" s="8" t="s">
        <v>10</v>
      </c>
      <c r="E4" s="9"/>
      <c r="G4" s="505"/>
      <c r="H4" s="10" t="s">
        <v>13</v>
      </c>
      <c r="I4" s="11">
        <f t="shared" si="0"/>
        <v>106.18683400808463</v>
      </c>
      <c r="J4" s="8" t="s">
        <v>11</v>
      </c>
      <c r="K4" s="9"/>
    </row>
    <row r="5" spans="1:11">
      <c r="A5" s="505"/>
      <c r="B5" s="34" t="s">
        <v>14</v>
      </c>
      <c r="C5" s="36">
        <v>11.12</v>
      </c>
      <c r="D5" s="35" t="s">
        <v>10</v>
      </c>
      <c r="E5" s="36" t="s">
        <v>15</v>
      </c>
      <c r="G5" s="505"/>
      <c r="H5" s="14" t="s">
        <v>14</v>
      </c>
      <c r="I5" s="15">
        <f t="shared" si="0"/>
        <v>179.85611510791369</v>
      </c>
      <c r="J5" s="13" t="s">
        <v>11</v>
      </c>
      <c r="K5" s="12" t="s">
        <v>15</v>
      </c>
    </row>
    <row r="6" spans="1:11">
      <c r="A6" s="505"/>
      <c r="B6" s="6" t="s">
        <v>16</v>
      </c>
      <c r="C6" s="9">
        <v>5.879999999999999</v>
      </c>
      <c r="D6" s="8" t="s">
        <v>10</v>
      </c>
      <c r="E6" s="9"/>
      <c r="G6" s="505"/>
      <c r="H6" s="10" t="s">
        <v>16</v>
      </c>
      <c r="I6" s="11">
        <f t="shared" si="0"/>
        <v>340.13605442176879</v>
      </c>
      <c r="J6" s="8" t="s">
        <v>11</v>
      </c>
      <c r="K6" s="9"/>
    </row>
    <row r="7" spans="1:11">
      <c r="A7" s="505"/>
      <c r="B7" s="16"/>
      <c r="C7" s="17"/>
      <c r="D7" s="17"/>
      <c r="G7" s="505"/>
      <c r="H7" s="16"/>
      <c r="I7" s="17"/>
      <c r="J7" s="17"/>
    </row>
    <row r="8" spans="1:11">
      <c r="A8" s="505"/>
      <c r="B8" s="19" t="s">
        <v>17</v>
      </c>
      <c r="C8" s="20">
        <f>AVERAGE(C2:C6)</f>
        <v>17.953366639238819</v>
      </c>
      <c r="D8" s="20" t="s">
        <v>10</v>
      </c>
      <c r="E8" s="21"/>
      <c r="F8" s="22"/>
      <c r="G8" s="505"/>
      <c r="H8" s="23" t="s">
        <v>17</v>
      </c>
      <c r="I8" s="24">
        <f>AVERAGE(I2:I6)</f>
        <v>156.2680024074206</v>
      </c>
      <c r="J8" s="25" t="s">
        <v>11</v>
      </c>
      <c r="K8" s="26"/>
    </row>
    <row r="9" spans="1:11">
      <c r="A9" s="27"/>
      <c r="G9" s="27"/>
      <c r="I9" s="28" t="s">
        <v>18</v>
      </c>
    </row>
    <row r="10" spans="1:11">
      <c r="A10" s="27"/>
      <c r="B10"/>
      <c r="E10"/>
      <c r="G10" s="27"/>
    </row>
    <row r="11" spans="1:11" ht="24">
      <c r="A11" s="506" t="s">
        <v>19</v>
      </c>
      <c r="B11" s="4" t="s">
        <v>4</v>
      </c>
      <c r="C11" s="5" t="s">
        <v>5</v>
      </c>
      <c r="D11" s="5" t="s">
        <v>6</v>
      </c>
      <c r="E11" s="5" t="s">
        <v>7</v>
      </c>
      <c r="F11" s="357"/>
      <c r="G11" s="506" t="s">
        <v>19</v>
      </c>
      <c r="H11" s="5" t="s">
        <v>4</v>
      </c>
      <c r="I11" s="5" t="s">
        <v>8</v>
      </c>
      <c r="J11" s="5" t="s">
        <v>6</v>
      </c>
      <c r="K11" s="5" t="s">
        <v>7</v>
      </c>
    </row>
    <row r="12" spans="1:11">
      <c r="A12" s="506"/>
      <c r="B12" s="43" t="s">
        <v>20</v>
      </c>
      <c r="C12" s="44">
        <f>C2+3.22</f>
        <v>35.842200628918697</v>
      </c>
      <c r="D12" s="45" t="s">
        <v>10</v>
      </c>
      <c r="E12" s="46"/>
      <c r="G12" s="506"/>
      <c r="H12" s="6" t="s">
        <v>20</v>
      </c>
      <c r="I12" s="11">
        <f>2000/C12</f>
        <v>55.800145217264713</v>
      </c>
      <c r="J12" s="8" t="s">
        <v>11</v>
      </c>
      <c r="K12" s="9"/>
    </row>
    <row r="13" spans="1:11">
      <c r="A13" s="506"/>
      <c r="B13" s="6" t="s">
        <v>21</v>
      </c>
      <c r="C13" s="7">
        <f>C3+3.22</f>
        <v>24.5299058454322</v>
      </c>
      <c r="D13" s="8" t="s">
        <v>10</v>
      </c>
      <c r="E13" s="9"/>
      <c r="G13" s="506"/>
      <c r="H13" s="6" t="s">
        <v>21</v>
      </c>
      <c r="I13" s="11">
        <f>2000/C13</f>
        <v>81.533129910990951</v>
      </c>
      <c r="J13" s="8" t="s">
        <v>11</v>
      </c>
      <c r="K13" s="9"/>
    </row>
    <row r="14" spans="1:11">
      <c r="A14" s="506"/>
      <c r="B14" s="6" t="s">
        <v>22</v>
      </c>
      <c r="C14" s="7">
        <f>C4+3.22</f>
        <v>22.054726721843199</v>
      </c>
      <c r="D14" s="8" t="s">
        <v>10</v>
      </c>
      <c r="E14" s="9"/>
      <c r="G14" s="506"/>
      <c r="H14" s="6" t="s">
        <v>22</v>
      </c>
      <c r="I14" s="11">
        <f>2000/C14</f>
        <v>90.683508584088784</v>
      </c>
      <c r="J14" s="8" t="s">
        <v>11</v>
      </c>
      <c r="K14" s="9"/>
    </row>
    <row r="15" spans="1:11">
      <c r="A15" s="506"/>
      <c r="B15" s="34" t="s">
        <v>23</v>
      </c>
      <c r="C15" s="36">
        <f>C5+3.22</f>
        <v>14.34</v>
      </c>
      <c r="D15" s="35" t="s">
        <v>10</v>
      </c>
      <c r="E15" s="36" t="s">
        <v>15</v>
      </c>
      <c r="G15" s="506"/>
      <c r="H15" s="29" t="s">
        <v>23</v>
      </c>
      <c r="I15" s="32">
        <f>2000/C15</f>
        <v>139.47001394700141</v>
      </c>
      <c r="J15" s="31" t="s">
        <v>11</v>
      </c>
      <c r="K15" s="30" t="s">
        <v>15</v>
      </c>
    </row>
    <row r="16" spans="1:11">
      <c r="A16" s="506"/>
      <c r="B16" s="6" t="s">
        <v>24</v>
      </c>
      <c r="C16" s="9">
        <f>C6+3.22</f>
        <v>9.1</v>
      </c>
      <c r="D16" s="8" t="s">
        <v>10</v>
      </c>
      <c r="E16" s="9"/>
      <c r="G16" s="506"/>
      <c r="H16" s="6" t="s">
        <v>24</v>
      </c>
      <c r="I16" s="11">
        <f>2000/C16</f>
        <v>219.7802197802198</v>
      </c>
      <c r="J16" s="8" t="s">
        <v>11</v>
      </c>
      <c r="K16" s="9"/>
    </row>
    <row r="17" spans="1:11">
      <c r="A17" s="506"/>
      <c r="B17"/>
      <c r="E17"/>
      <c r="G17" s="506"/>
    </row>
    <row r="18" spans="1:11">
      <c r="A18" s="506"/>
      <c r="B18" s="19" t="s">
        <v>17</v>
      </c>
      <c r="C18" s="20">
        <f>AVERAGE(C12:C16)</f>
        <v>21.173366639238818</v>
      </c>
      <c r="D18" s="20" t="s">
        <v>10</v>
      </c>
      <c r="E18" s="21"/>
      <c r="F18" s="22"/>
      <c r="G18" s="506"/>
      <c r="H18" s="23" t="s">
        <v>17</v>
      </c>
      <c r="I18" s="24">
        <f>AVERAGE(I12:I16)</f>
        <v>117.45340348791312</v>
      </c>
      <c r="J18" s="25" t="s">
        <v>11</v>
      </c>
      <c r="K18" s="26"/>
    </row>
    <row r="19" spans="1:11">
      <c r="I19" s="28" t="s">
        <v>25</v>
      </c>
    </row>
    <row r="21" spans="1:11">
      <c r="D21" t="s">
        <v>40</v>
      </c>
    </row>
    <row r="22" spans="1:11">
      <c r="B22" s="33"/>
      <c r="D22" t="s">
        <v>41</v>
      </c>
    </row>
    <row r="24" spans="1:11">
      <c r="B24" s="33"/>
    </row>
    <row r="25" spans="1:11">
      <c r="B25" s="358" t="s">
        <v>53</v>
      </c>
    </row>
    <row r="26" spans="1:11">
      <c r="B26" s="358" t="s">
        <v>54</v>
      </c>
    </row>
    <row r="27" spans="1:11">
      <c r="B27" s="358" t="s">
        <v>56</v>
      </c>
    </row>
    <row r="28" spans="1:11">
      <c r="B28" s="358" t="s">
        <v>55</v>
      </c>
    </row>
    <row r="29" spans="1:11">
      <c r="B29" s="358" t="s">
        <v>103</v>
      </c>
    </row>
    <row r="35" spans="2:8">
      <c r="B35" s="507" t="s">
        <v>26</v>
      </c>
      <c r="C35" s="508"/>
      <c r="D35" s="508"/>
      <c r="E35" s="508"/>
      <c r="F35" s="508"/>
      <c r="G35" s="508"/>
      <c r="H35" s="508"/>
    </row>
  </sheetData>
  <sheetProtection sheet="1" objects="1" scenarios="1"/>
  <mergeCells count="5">
    <mergeCell ref="A1:A8"/>
    <mergeCell ref="G1:G8"/>
    <mergeCell ref="A11:A18"/>
    <mergeCell ref="G11:G18"/>
    <mergeCell ref="B35:H35"/>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8AA53-9138-2B40-AC64-5F053200AE6C}">
  <dimension ref="A4:F25"/>
  <sheetViews>
    <sheetView workbookViewId="0"/>
  </sheetViews>
  <sheetFormatPr defaultColWidth="8.81640625" defaultRowHeight="14.5"/>
  <cols>
    <col min="1" max="1" width="26.81640625" customWidth="1"/>
    <col min="2" max="2" width="17.6328125" customWidth="1"/>
    <col min="3" max="3" width="21.1796875" customWidth="1"/>
  </cols>
  <sheetData>
    <row r="4" spans="1:6" ht="18.5">
      <c r="A4" s="54" t="s">
        <v>44</v>
      </c>
      <c r="B4" s="83" t="s">
        <v>250</v>
      </c>
      <c r="C4" s="83" t="s">
        <v>251</v>
      </c>
    </row>
    <row r="5" spans="1:6">
      <c r="A5" s="356" t="s">
        <v>42</v>
      </c>
      <c r="B5" s="355">
        <v>1.1000000000000001</v>
      </c>
      <c r="C5" s="355">
        <v>0.38</v>
      </c>
    </row>
    <row r="6" spans="1:6" ht="29">
      <c r="A6" s="356" t="s">
        <v>260</v>
      </c>
      <c r="B6" s="355">
        <v>1.1000000000000001</v>
      </c>
      <c r="C6" s="355">
        <v>0.38</v>
      </c>
    </row>
    <row r="7" spans="1:6">
      <c r="A7" s="356" t="s">
        <v>43</v>
      </c>
      <c r="B7" s="355">
        <v>1.5</v>
      </c>
      <c r="C7" s="355">
        <v>0.38</v>
      </c>
    </row>
    <row r="8" spans="1:6" ht="29">
      <c r="A8" s="356" t="s">
        <v>261</v>
      </c>
      <c r="B8" s="355">
        <v>1.5</v>
      </c>
      <c r="C8" s="355">
        <v>0.38</v>
      </c>
    </row>
    <row r="9" spans="1:6" ht="29">
      <c r="A9" s="356" t="s">
        <v>45</v>
      </c>
      <c r="B9" s="355">
        <v>0.37</v>
      </c>
      <c r="C9" s="355" t="s">
        <v>51</v>
      </c>
    </row>
    <row r="10" spans="1:6">
      <c r="A10" s="356" t="s">
        <v>47</v>
      </c>
      <c r="B10" s="355">
        <v>0.5</v>
      </c>
      <c r="C10" s="355" t="s">
        <v>51</v>
      </c>
    </row>
    <row r="11" spans="1:6" ht="18" customHeight="1">
      <c r="A11" s="82" t="s">
        <v>52</v>
      </c>
    </row>
    <row r="12" spans="1:6" ht="109" customHeight="1">
      <c r="A12" s="492" t="s">
        <v>252</v>
      </c>
      <c r="B12" s="492"/>
      <c r="C12" s="492"/>
      <c r="D12" s="492"/>
      <c r="E12" s="492"/>
      <c r="F12" s="492"/>
    </row>
    <row r="13" spans="1:6">
      <c r="A13" s="357"/>
      <c r="B13" s="357"/>
      <c r="C13" s="357"/>
      <c r="D13" s="357"/>
    </row>
    <row r="14" spans="1:6" ht="121.5" customHeight="1">
      <c r="A14" s="492" t="s">
        <v>253</v>
      </c>
      <c r="B14" s="492"/>
      <c r="C14" s="492"/>
      <c r="D14" s="492"/>
      <c r="E14" s="492"/>
      <c r="F14" s="492"/>
    </row>
    <row r="15" spans="1:6">
      <c r="A15" s="357"/>
      <c r="B15" s="357"/>
      <c r="C15" s="357"/>
      <c r="D15" s="357"/>
    </row>
    <row r="16" spans="1:6">
      <c r="A16" s="357"/>
      <c r="B16" s="357"/>
      <c r="C16" s="357"/>
      <c r="D16" s="357"/>
    </row>
    <row r="17" spans="1:4">
      <c r="A17" s="357"/>
      <c r="B17" s="357"/>
      <c r="C17" s="357"/>
      <c r="D17" s="357"/>
    </row>
    <row r="18" spans="1:4">
      <c r="A18" s="357"/>
      <c r="B18" s="357"/>
      <c r="C18" s="357"/>
      <c r="D18" s="357"/>
    </row>
    <row r="19" spans="1:4">
      <c r="A19" s="357"/>
      <c r="B19" s="357"/>
      <c r="C19" s="357"/>
      <c r="D19" s="357"/>
    </row>
    <row r="20" spans="1:4">
      <c r="A20" s="357"/>
      <c r="B20" s="357"/>
      <c r="C20" s="357"/>
      <c r="D20" s="357"/>
    </row>
    <row r="21" spans="1:4">
      <c r="A21" s="357"/>
      <c r="B21" s="357"/>
      <c r="C21" s="357"/>
      <c r="D21" s="357"/>
    </row>
    <row r="22" spans="1:4">
      <c r="A22" s="357"/>
      <c r="B22" s="357"/>
      <c r="C22" s="357"/>
      <c r="D22" s="357"/>
    </row>
    <row r="23" spans="1:4">
      <c r="A23" s="357"/>
      <c r="B23" s="357"/>
      <c r="C23" s="357"/>
      <c r="D23" s="357"/>
    </row>
    <row r="24" spans="1:4">
      <c r="A24" s="357"/>
      <c r="B24" s="357"/>
      <c r="C24" s="357"/>
      <c r="D24" s="357"/>
    </row>
    <row r="25" spans="1:4">
      <c r="A25" s="357"/>
      <c r="B25" s="357"/>
      <c r="C25" s="357"/>
      <c r="D25" s="357"/>
    </row>
  </sheetData>
  <sheetProtection sheet="1" objects="1" scenarios="1"/>
  <mergeCells count="2">
    <mergeCell ref="A12:F12"/>
    <mergeCell ref="A14:F14"/>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CE611-113D-451E-8684-AD0B53787F4A}">
  <dimension ref="A1:H56"/>
  <sheetViews>
    <sheetView workbookViewId="0">
      <selection sqref="A1:H1"/>
    </sheetView>
  </sheetViews>
  <sheetFormatPr defaultColWidth="9.1796875" defaultRowHeight="12.5"/>
  <cols>
    <col min="1" max="1" width="68.453125" style="172" customWidth="1"/>
    <col min="2" max="2" width="15.6328125" style="172" customWidth="1"/>
    <col min="3" max="3" width="17" style="172" bestFit="1" customWidth="1"/>
    <col min="4" max="4" width="15.6328125" style="172" bestFit="1" customWidth="1"/>
    <col min="5" max="5" width="13.453125" style="172" bestFit="1" customWidth="1"/>
    <col min="6" max="6" width="13.453125" style="172" customWidth="1"/>
    <col min="7" max="7" width="13" style="172" customWidth="1"/>
    <col min="8" max="8" width="31.6328125" style="172" customWidth="1"/>
    <col min="9" max="16384" width="9.1796875" style="172"/>
  </cols>
  <sheetData>
    <row r="1" spans="1:8" ht="25.5" thickBot="1">
      <c r="A1" s="515" t="s">
        <v>264</v>
      </c>
      <c r="B1" s="515"/>
      <c r="C1" s="515"/>
      <c r="D1" s="515"/>
      <c r="E1" s="515"/>
      <c r="F1" s="515"/>
      <c r="G1" s="515"/>
      <c r="H1" s="492"/>
    </row>
    <row r="2" spans="1:8" ht="33" customHeight="1" thickBot="1">
      <c r="A2" s="312"/>
      <c r="B2" s="509" t="s">
        <v>137</v>
      </c>
      <c r="C2" s="510"/>
      <c r="D2" s="509" t="s">
        <v>138</v>
      </c>
      <c r="E2" s="511"/>
      <c r="F2" s="512" t="s">
        <v>139</v>
      </c>
      <c r="G2" s="512"/>
      <c r="H2" s="313"/>
    </row>
    <row r="3" spans="1:8" ht="13.5" thickBot="1">
      <c r="A3" s="314" t="s">
        <v>140</v>
      </c>
      <c r="B3" s="310" t="s">
        <v>141</v>
      </c>
      <c r="C3" s="311" t="s">
        <v>142</v>
      </c>
      <c r="D3" s="310" t="s">
        <v>141</v>
      </c>
      <c r="E3" s="311" t="s">
        <v>142</v>
      </c>
      <c r="F3" s="310" t="s">
        <v>141</v>
      </c>
      <c r="G3" s="315" t="s">
        <v>142</v>
      </c>
      <c r="H3" s="316" t="s">
        <v>143</v>
      </c>
    </row>
    <row r="4" spans="1:8" ht="13">
      <c r="A4" s="321" t="s">
        <v>144</v>
      </c>
      <c r="B4" s="326">
        <v>13</v>
      </c>
      <c r="C4" s="327">
        <f>(B4*($B$22*$B$23)/3)</f>
        <v>21666.666666666668</v>
      </c>
      <c r="D4" s="326">
        <v>13</v>
      </c>
      <c r="E4" s="327">
        <f>(D4*($B$22*$B$23)/3)</f>
        <v>21666.666666666668</v>
      </c>
      <c r="F4" s="326">
        <v>13</v>
      </c>
      <c r="G4" s="328">
        <f>(F4*($B$22*$B$23)/3)</f>
        <v>21666.666666666668</v>
      </c>
      <c r="H4" s="335"/>
    </row>
    <row r="5" spans="1:8" ht="13">
      <c r="A5" s="322" t="s">
        <v>271</v>
      </c>
      <c r="B5" s="329">
        <v>8</v>
      </c>
      <c r="C5" s="327">
        <f>(B5*($B$22*$B$23)/3)</f>
        <v>13333.333333333334</v>
      </c>
      <c r="D5" s="329">
        <v>8</v>
      </c>
      <c r="E5" s="327">
        <f>(D5*($B$22*$B$23)/3)</f>
        <v>13333.333333333334</v>
      </c>
      <c r="F5" s="329">
        <v>8</v>
      </c>
      <c r="G5" s="328">
        <f>(F5*($B$22*$B$23)/3)</f>
        <v>13333.333333333334</v>
      </c>
      <c r="H5" s="336"/>
    </row>
    <row r="6" spans="1:8" s="309" customFormat="1" ht="13">
      <c r="A6" s="323" t="s">
        <v>275</v>
      </c>
      <c r="B6" s="329">
        <v>18</v>
      </c>
      <c r="C6" s="327">
        <f>(B6*($B$22*$B$23)/3)</f>
        <v>30000</v>
      </c>
      <c r="D6" s="329">
        <v>18</v>
      </c>
      <c r="E6" s="327">
        <f>(D6*($B$22*$B$23)/3)</f>
        <v>30000</v>
      </c>
      <c r="F6" s="329">
        <v>18</v>
      </c>
      <c r="G6" s="328">
        <f>(F6*($B$22*$B$23)/3)</f>
        <v>30000</v>
      </c>
      <c r="H6" s="336"/>
    </row>
    <row r="7" spans="1:8" s="309" customFormat="1" ht="13">
      <c r="A7" s="323" t="s">
        <v>272</v>
      </c>
      <c r="B7" s="329"/>
      <c r="C7" s="327"/>
      <c r="D7" s="329"/>
      <c r="E7" s="327"/>
      <c r="F7" s="329"/>
      <c r="G7" s="328"/>
      <c r="H7" s="336"/>
    </row>
    <row r="8" spans="1:8" s="309" customFormat="1" ht="13">
      <c r="A8" s="323" t="s">
        <v>145</v>
      </c>
      <c r="B8" s="329"/>
      <c r="C8" s="327"/>
      <c r="D8" s="329">
        <v>2</v>
      </c>
      <c r="E8" s="327">
        <f>((B23*B22)*3)*D8</f>
        <v>30000</v>
      </c>
      <c r="F8" s="329"/>
      <c r="G8" s="328"/>
      <c r="H8" s="336"/>
    </row>
    <row r="9" spans="1:8" s="309" customFormat="1" ht="13">
      <c r="A9" s="323" t="s">
        <v>146</v>
      </c>
      <c r="B9" s="329">
        <v>52.94</v>
      </c>
      <c r="C9" s="327">
        <f>B9*$B$22</f>
        <v>2647</v>
      </c>
      <c r="D9" s="329"/>
      <c r="E9" s="327"/>
      <c r="F9" s="329"/>
      <c r="G9" s="328"/>
      <c r="H9" s="336"/>
    </row>
    <row r="10" spans="1:8" s="309" customFormat="1" ht="13">
      <c r="A10" s="324" t="s">
        <v>147</v>
      </c>
      <c r="B10" s="329">
        <v>338</v>
      </c>
      <c r="C10" s="330">
        <f>B10*$B$22</f>
        <v>16900</v>
      </c>
      <c r="D10" s="329">
        <v>338</v>
      </c>
      <c r="E10" s="330">
        <f>D10*$B$22</f>
        <v>16900</v>
      </c>
      <c r="F10" s="329">
        <v>338</v>
      </c>
      <c r="G10" s="331">
        <f>F10*$B$22</f>
        <v>16900</v>
      </c>
      <c r="H10" s="336"/>
    </row>
    <row r="11" spans="1:8" s="309" customFormat="1" ht="13">
      <c r="A11" s="323" t="s">
        <v>276</v>
      </c>
      <c r="B11" s="329">
        <v>100</v>
      </c>
      <c r="C11" s="330">
        <f>(B11*$B$22)*2</f>
        <v>10000</v>
      </c>
      <c r="D11" s="329">
        <v>100</v>
      </c>
      <c r="E11" s="330">
        <f>(D11*$B$22)*2</f>
        <v>10000</v>
      </c>
      <c r="F11" s="329">
        <v>100</v>
      </c>
      <c r="G11" s="331">
        <f>(F11*$B$22)*2</f>
        <v>10000</v>
      </c>
      <c r="H11" s="336"/>
    </row>
    <row r="12" spans="1:8" s="309" customFormat="1" ht="13">
      <c r="A12" s="323" t="s">
        <v>148</v>
      </c>
      <c r="B12" s="329">
        <v>1145</v>
      </c>
      <c r="C12" s="330">
        <f>B12*$B$22</f>
        <v>57250</v>
      </c>
      <c r="D12" s="329">
        <v>1145</v>
      </c>
      <c r="E12" s="330">
        <f>D12*$B$22</f>
        <v>57250</v>
      </c>
      <c r="F12" s="329">
        <v>1145</v>
      </c>
      <c r="G12" s="331">
        <f>F12*$B$22</f>
        <v>57250</v>
      </c>
      <c r="H12" s="336" t="s">
        <v>149</v>
      </c>
    </row>
    <row r="13" spans="1:8" s="309" customFormat="1" ht="13">
      <c r="A13" s="323" t="s">
        <v>150</v>
      </c>
      <c r="B13" s="329">
        <v>200</v>
      </c>
      <c r="C13" s="330">
        <f>(B13*B22)*5</f>
        <v>50000</v>
      </c>
      <c r="D13" s="329">
        <v>200</v>
      </c>
      <c r="E13" s="330">
        <f>(D13*B22)*5</f>
        <v>50000</v>
      </c>
      <c r="F13" s="329">
        <v>200</v>
      </c>
      <c r="G13" s="331">
        <f>(F13*B22)*5</f>
        <v>50000</v>
      </c>
      <c r="H13" s="336" t="s">
        <v>151</v>
      </c>
    </row>
    <row r="14" spans="1:8" s="309" customFormat="1" ht="13">
      <c r="A14" s="323" t="s">
        <v>277</v>
      </c>
      <c r="B14" s="329">
        <v>65</v>
      </c>
      <c r="C14" s="330">
        <f>B14*$B$22</f>
        <v>3250</v>
      </c>
      <c r="D14" s="329">
        <v>65</v>
      </c>
      <c r="E14" s="330">
        <f>D14*$B$22</f>
        <v>3250</v>
      </c>
      <c r="F14" s="329">
        <v>65</v>
      </c>
      <c r="G14" s="331">
        <f>F14*$B$22</f>
        <v>3250</v>
      </c>
      <c r="H14" s="336" t="s">
        <v>149</v>
      </c>
    </row>
    <row r="15" spans="1:8" s="309" customFormat="1" ht="13">
      <c r="A15" s="323" t="s">
        <v>152</v>
      </c>
      <c r="B15" s="329">
        <v>600</v>
      </c>
      <c r="C15" s="330">
        <f>B15*$B$22</f>
        <v>30000</v>
      </c>
      <c r="D15" s="329">
        <v>600</v>
      </c>
      <c r="E15" s="330">
        <f>D15*$B$22</f>
        <v>30000</v>
      </c>
      <c r="F15" s="329">
        <v>600</v>
      </c>
      <c r="G15" s="331">
        <f>F15*$B$22</f>
        <v>30000</v>
      </c>
      <c r="H15" s="336" t="s">
        <v>149</v>
      </c>
    </row>
    <row r="16" spans="1:8" s="309" customFormat="1" ht="13">
      <c r="A16" s="323" t="s">
        <v>278</v>
      </c>
      <c r="B16" s="329">
        <v>687.75</v>
      </c>
      <c r="C16" s="330">
        <f>B16*$B$22</f>
        <v>34387.5</v>
      </c>
      <c r="D16" s="329">
        <v>687.75</v>
      </c>
      <c r="E16" s="330">
        <f>D16*$B$22</f>
        <v>34387.5</v>
      </c>
      <c r="F16" s="329">
        <v>687.75</v>
      </c>
      <c r="G16" s="331">
        <f>F16*$B$22</f>
        <v>34387.5</v>
      </c>
      <c r="H16" s="336" t="s">
        <v>149</v>
      </c>
    </row>
    <row r="17" spans="1:8" s="309" customFormat="1" ht="13.5" thickBot="1">
      <c r="A17" s="325" t="s">
        <v>153</v>
      </c>
      <c r="B17" s="332">
        <v>31.5</v>
      </c>
      <c r="C17" s="333">
        <f>B17*$B$22</f>
        <v>1575</v>
      </c>
      <c r="D17" s="332">
        <v>31.5</v>
      </c>
      <c r="E17" s="333">
        <f>D17*$B$22</f>
        <v>1575</v>
      </c>
      <c r="F17" s="332">
        <v>31.5</v>
      </c>
      <c r="G17" s="334">
        <f>F17*$B$22</f>
        <v>1575</v>
      </c>
      <c r="H17" s="336" t="s">
        <v>154</v>
      </c>
    </row>
    <row r="18" spans="1:8" s="309" customFormat="1" ht="13.5" thickBot="1">
      <c r="A18" s="342" t="s">
        <v>279</v>
      </c>
      <c r="B18" s="343">
        <v>175</v>
      </c>
      <c r="C18" s="344">
        <f>B18*$B$22</f>
        <v>8750</v>
      </c>
      <c r="D18" s="343">
        <v>175</v>
      </c>
      <c r="E18" s="344">
        <f>D18*$B$22</f>
        <v>8750</v>
      </c>
      <c r="F18" s="343">
        <v>175</v>
      </c>
      <c r="G18" s="345">
        <f>F18*$B$22</f>
        <v>8750</v>
      </c>
      <c r="H18" s="346"/>
    </row>
    <row r="19" spans="1:8" ht="13.5" thickBot="1">
      <c r="A19" s="173" t="s">
        <v>155</v>
      </c>
      <c r="B19" s="174"/>
      <c r="C19" s="317">
        <f>SUM(C4:C18)</f>
        <v>279759.5</v>
      </c>
      <c r="D19" s="318"/>
      <c r="E19" s="317">
        <f>SUM(E4:E18)</f>
        <v>307112.5</v>
      </c>
      <c r="F19" s="319"/>
      <c r="G19" s="320">
        <f>SUM(G4:G18)</f>
        <v>277112.5</v>
      </c>
      <c r="H19" s="175"/>
    </row>
    <row r="20" spans="1:8" ht="13">
      <c r="A20" s="348" t="s">
        <v>265</v>
      </c>
      <c r="B20" s="349"/>
      <c r="C20" s="349"/>
      <c r="D20" s="349"/>
      <c r="E20" s="349"/>
      <c r="F20" s="350"/>
      <c r="G20" s="350"/>
      <c r="H20" s="351"/>
    </row>
    <row r="21" spans="1:8" ht="13" thickBot="1">
      <c r="B21" s="176"/>
      <c r="C21" s="176"/>
      <c r="D21" s="176"/>
      <c r="E21" s="176"/>
      <c r="F21" s="176"/>
      <c r="G21" s="176"/>
    </row>
    <row r="22" spans="1:8" ht="13">
      <c r="A22" s="339" t="s">
        <v>156</v>
      </c>
      <c r="B22" s="337">
        <f>'User Interface'!B24</f>
        <v>50</v>
      </c>
      <c r="C22" s="178"/>
      <c r="D22" s="176"/>
      <c r="E22" s="176"/>
      <c r="F22" s="177"/>
    </row>
    <row r="23" spans="1:8" ht="13.5" thickBot="1">
      <c r="A23" s="340" t="s">
        <v>157</v>
      </c>
      <c r="B23" s="338">
        <f>'User Interface'!D24</f>
        <v>100</v>
      </c>
      <c r="C23" s="176"/>
      <c r="D23" s="176"/>
      <c r="E23" s="176"/>
      <c r="F23" s="176"/>
    </row>
    <row r="24" spans="1:8">
      <c r="B24" s="178"/>
    </row>
    <row r="25" spans="1:8" ht="13">
      <c r="B25" s="178"/>
      <c r="H25" s="177"/>
    </row>
    <row r="26" spans="1:8" ht="15.5">
      <c r="A26" s="177"/>
      <c r="B26" s="179"/>
      <c r="D26" s="177"/>
      <c r="G26" s="180"/>
      <c r="H26" s="181"/>
    </row>
    <row r="27" spans="1:8" ht="13">
      <c r="B27" s="182" t="s">
        <v>158</v>
      </c>
      <c r="C27" s="182"/>
      <c r="D27" s="183"/>
      <c r="E27" s="176"/>
      <c r="F27" s="176"/>
      <c r="G27" s="176"/>
      <c r="H27" s="176"/>
    </row>
    <row r="28" spans="1:8" ht="13">
      <c r="B28" s="184" t="s">
        <v>0</v>
      </c>
      <c r="C28" s="185">
        <v>9000</v>
      </c>
      <c r="F28" s="186"/>
      <c r="H28" s="187"/>
    </row>
    <row r="29" spans="1:8" ht="13">
      <c r="B29" s="188" t="s">
        <v>1</v>
      </c>
      <c r="C29" s="185">
        <v>6000</v>
      </c>
      <c r="E29" s="176"/>
      <c r="F29" s="186"/>
      <c r="G29" s="176"/>
      <c r="H29" s="187"/>
    </row>
    <row r="30" spans="1:8" ht="13">
      <c r="B30" s="188" t="s">
        <v>2</v>
      </c>
      <c r="C30" s="188">
        <v>3000</v>
      </c>
      <c r="E30" s="176"/>
      <c r="F30" s="176"/>
      <c r="G30" s="176"/>
      <c r="H30" s="189"/>
    </row>
    <row r="31" spans="1:8">
      <c r="B31" s="190"/>
    </row>
    <row r="32" spans="1:8">
      <c r="B32" s="190"/>
    </row>
    <row r="33" spans="1:8" ht="13">
      <c r="B33" s="191" t="s">
        <v>159</v>
      </c>
      <c r="C33" s="191" t="s">
        <v>160</v>
      </c>
      <c r="D33" s="184" t="s">
        <v>161</v>
      </c>
    </row>
    <row r="34" spans="1:8" ht="13">
      <c r="A34" s="179"/>
      <c r="B34" s="192"/>
      <c r="C34" s="192"/>
      <c r="D34" s="192"/>
      <c r="F34" s="176"/>
    </row>
    <row r="35" spans="1:8" ht="13">
      <c r="A35" s="179"/>
      <c r="B35" s="192"/>
      <c r="C35" s="192"/>
      <c r="D35" s="192"/>
      <c r="F35" s="176"/>
      <c r="G35" s="176"/>
    </row>
    <row r="36" spans="1:8" ht="13">
      <c r="A36" s="179" t="s">
        <v>162</v>
      </c>
      <c r="B36" s="192">
        <f>SUM(B22:B22)*C30</f>
        <v>150000</v>
      </c>
      <c r="C36" s="192">
        <f>SUM(B22:B22)*C30</f>
        <v>150000</v>
      </c>
      <c r="D36" s="192">
        <f>SUM(B22:B22)*C30</f>
        <v>150000</v>
      </c>
      <c r="G36" s="186"/>
    </row>
    <row r="37" spans="1:8" ht="13">
      <c r="A37" s="179" t="s">
        <v>163</v>
      </c>
      <c r="B37" s="192">
        <f>C19</f>
        <v>279759.5</v>
      </c>
      <c r="C37" s="192">
        <f>E19</f>
        <v>307112.5</v>
      </c>
      <c r="D37" s="192">
        <f>G19</f>
        <v>277112.5</v>
      </c>
      <c r="F37" s="176"/>
      <c r="G37" s="186"/>
    </row>
    <row r="38" spans="1:8" ht="13">
      <c r="A38" s="179" t="s">
        <v>164</v>
      </c>
      <c r="B38" s="193">
        <v>105000</v>
      </c>
      <c r="C38" s="193">
        <v>105000</v>
      </c>
      <c r="D38" s="193">
        <v>105000</v>
      </c>
      <c r="F38" s="176"/>
      <c r="G38" s="176"/>
    </row>
    <row r="39" spans="1:8" ht="13">
      <c r="A39" s="179" t="s">
        <v>165</v>
      </c>
      <c r="B39" s="193">
        <v>5000</v>
      </c>
      <c r="C39" s="193">
        <v>5000</v>
      </c>
      <c r="D39" s="193">
        <v>5000</v>
      </c>
      <c r="E39" s="176"/>
      <c r="F39" s="176"/>
      <c r="G39" s="176"/>
    </row>
    <row r="40" spans="1:8" ht="13">
      <c r="A40" s="179" t="s">
        <v>166</v>
      </c>
      <c r="B40" s="193">
        <v>3000</v>
      </c>
      <c r="C40" s="193">
        <v>3000</v>
      </c>
      <c r="D40" s="193">
        <v>3000</v>
      </c>
      <c r="E40" s="176"/>
      <c r="G40" s="176"/>
    </row>
    <row r="41" spans="1:8" ht="13.5" thickBot="1">
      <c r="A41" s="194"/>
      <c r="B41" s="195"/>
      <c r="C41" s="195"/>
      <c r="D41" s="195"/>
      <c r="E41" s="176"/>
      <c r="G41" s="176"/>
    </row>
    <row r="42" spans="1:8" ht="33.75" customHeight="1">
      <c r="A42" s="196" t="s">
        <v>167</v>
      </c>
      <c r="B42" s="197">
        <f>SUM(B36:B40)</f>
        <v>542759.5</v>
      </c>
      <c r="C42" s="197">
        <f t="shared" ref="C42:D42" si="0">SUM(C36:C40)</f>
        <v>570112.5</v>
      </c>
      <c r="D42" s="197">
        <f t="shared" si="0"/>
        <v>540112.5</v>
      </c>
      <c r="E42" s="513"/>
      <c r="F42" s="514"/>
      <c r="G42" s="514"/>
      <c r="H42" s="514"/>
    </row>
    <row r="43" spans="1:8" ht="17.5">
      <c r="A43" s="198"/>
      <c r="B43" s="199"/>
      <c r="C43" s="199"/>
      <c r="D43" s="199"/>
      <c r="E43" s="200"/>
      <c r="F43" s="176"/>
      <c r="G43" s="200"/>
    </row>
    <row r="45" spans="1:8" ht="13">
      <c r="B45" s="191" t="s">
        <v>159</v>
      </c>
      <c r="C45" s="191" t="s">
        <v>160</v>
      </c>
      <c r="D45" s="184" t="s">
        <v>161</v>
      </c>
    </row>
    <row r="46" spans="1:8" ht="13.5" thickBot="1">
      <c r="A46" s="194" t="s">
        <v>168</v>
      </c>
      <c r="B46" s="201">
        <f>SUM(C11,C13,C18)</f>
        <v>68750</v>
      </c>
      <c r="C46" s="201">
        <f>SUM(E11,E13,E18)</f>
        <v>68750</v>
      </c>
      <c r="D46" s="202">
        <f>SUM(G11,G13,G18)</f>
        <v>68750</v>
      </c>
    </row>
    <row r="47" spans="1:8" ht="13">
      <c r="A47" s="196" t="s">
        <v>169</v>
      </c>
      <c r="B47" s="203">
        <f>B46*2</f>
        <v>137500</v>
      </c>
      <c r="C47" s="203">
        <f>C46*2</f>
        <v>137500</v>
      </c>
      <c r="D47" s="204">
        <f>D46*2</f>
        <v>137500</v>
      </c>
    </row>
    <row r="49" spans="1:8" ht="13">
      <c r="A49" s="205" t="s">
        <v>170</v>
      </c>
      <c r="B49" s="206">
        <f>SUM(B42,B47)</f>
        <v>680259.5</v>
      </c>
      <c r="C49" s="206">
        <f>SUM(C42,C47)</f>
        <v>707612.5</v>
      </c>
      <c r="D49" s="206">
        <f>SUM(D42,D47)</f>
        <v>677612.5</v>
      </c>
      <c r="F49" s="207"/>
      <c r="G49" s="207"/>
      <c r="H49" s="207"/>
    </row>
    <row r="50" spans="1:8">
      <c r="F50" s="207"/>
      <c r="G50" s="207"/>
    </row>
    <row r="51" spans="1:8">
      <c r="A51" s="183"/>
      <c r="B51" s="207"/>
      <c r="C51" s="207"/>
      <c r="D51" s="207"/>
    </row>
    <row r="52" spans="1:8" ht="13">
      <c r="A52" s="208" t="s">
        <v>171</v>
      </c>
      <c r="B52" s="209">
        <f>B49/B22</f>
        <v>13605.19</v>
      </c>
      <c r="C52" s="209">
        <f>C49/B22</f>
        <v>14152.25</v>
      </c>
      <c r="D52" s="209">
        <f>D49/B22</f>
        <v>13552.25</v>
      </c>
    </row>
    <row r="53" spans="1:8">
      <c r="B53" s="207"/>
    </row>
    <row r="54" spans="1:8">
      <c r="C54" s="207"/>
    </row>
    <row r="56" spans="1:8" ht="13">
      <c r="A56" s="177" t="s">
        <v>268</v>
      </c>
      <c r="B56" s="177"/>
      <c r="C56" s="177"/>
      <c r="D56" s="177"/>
      <c r="E56" s="177"/>
      <c r="F56" s="177"/>
    </row>
  </sheetData>
  <sheetProtection algorithmName="SHA-512" hashValue="tz1o3zShSjNo3nDJ2L0t+m7iJ42pQ9PrFmT/RHIPRcSPsBrajo+cp+j2sVa6BTx/lDO3Y//fo1gnpl33cUr2rg==" saltValue="yJp7Tk+ISqY40rWZh4uszQ==" spinCount="100000" sheet="1" objects="1" scenarios="1"/>
  <mergeCells count="5">
    <mergeCell ref="B2:C2"/>
    <mergeCell ref="D2:E2"/>
    <mergeCell ref="F2:G2"/>
    <mergeCell ref="E42:H42"/>
    <mergeCell ref="A1:H1"/>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B567AAF6EAE4A9EB35F435B8B39B2" ma:contentTypeVersion="7" ma:contentTypeDescription="Create a new document." ma:contentTypeScope="" ma:versionID="428f212695309a6addea65ddd51f8732">
  <xsd:schema xmlns:xsd="http://www.w3.org/2001/XMLSchema" xmlns:xs="http://www.w3.org/2001/XMLSchema" xmlns:p="http://schemas.microsoft.com/office/2006/metadata/properties" xmlns:ns1="http://schemas.microsoft.com/sharepoint/v3" targetNamespace="http://schemas.microsoft.com/office/2006/metadata/properties" ma:root="true" ma:fieldsID="ff041729f503780c3ac91cfd87aef5f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0D9CE-4840-4A84-AA96-2E0E70A5C4EA}"/>
</file>

<file path=customXml/itemProps2.xml><?xml version="1.0" encoding="utf-8"?>
<ds:datastoreItem xmlns:ds="http://schemas.openxmlformats.org/officeDocument/2006/customXml" ds:itemID="{E02B947D-1E8F-40C2-8119-0056D4E27BE7}"/>
</file>

<file path=customXml/itemProps3.xml><?xml version="1.0" encoding="utf-8"?>
<ds:datastoreItem xmlns:ds="http://schemas.openxmlformats.org/officeDocument/2006/customXml" ds:itemID="{DF1311F1-36BA-43C2-9775-D3CA33C196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User Interface</vt:lpstr>
      <vt:lpstr>RFB Benefits - Costs</vt:lpstr>
      <vt:lpstr>Notes</vt:lpstr>
      <vt:lpstr>MD IPPS</vt:lpstr>
      <vt:lpstr>RFB MS4 Credits</vt:lpstr>
      <vt:lpstr>Example Project Budget</vt:lpstr>
      <vt:lpstr>'User Interface'!Print_Area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 Emmart</dc:creator>
  <cp:lastModifiedBy>Paul Emmart</cp:lastModifiedBy>
  <cp:lastPrinted>2021-04-30T19:59:36Z</cp:lastPrinted>
  <dcterms:created xsi:type="dcterms:W3CDTF">2017-08-01T20:11:56Z</dcterms:created>
  <dcterms:modified xsi:type="dcterms:W3CDTF">2022-04-01T11:22:29Z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0x010100A86B567AAF6EAE4A9EB35F435B8B39B2</vt:lpwstr>
  </property>
  <property fmtid="{D5CDD505-2E9C-101B-9397-08002B2CF9AE}" pid="3" name="Order">
    <vt:r8>8800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